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57e5af84af92a2/Horton Parish Council/AA Transfer/Meeting June 2025/"/>
    </mc:Choice>
  </mc:AlternateContent>
  <xr:revisionPtr revIDLastSave="0" documentId="8_{08AC4E7E-8830-49CE-98F9-4219F04BCD12}" xr6:coauthVersionLast="47" xr6:coauthVersionMax="47" xr10:uidLastSave="{00000000-0000-0000-0000-000000000000}"/>
  <bookViews>
    <workbookView xWindow="-120" yWindow="-120" windowWidth="29040" windowHeight="15840" tabRatio="741" xr2:uid="{00000000-000D-0000-FFFF-FFFF00000000}"/>
  </bookViews>
  <sheets>
    <sheet name="Apr - Jun 2024" sheetId="1" r:id="rId1"/>
    <sheet name="July - Sept 2024" sheetId="2" r:id="rId2"/>
    <sheet name="Oct - Dec 2024" sheetId="3" r:id="rId3"/>
    <sheet name="Jan - March 2025" sheetId="4" r:id="rId4"/>
    <sheet name="Year end bank rec" sheetId="5" r:id="rId5"/>
    <sheet name="Q1 YTD Budget Report " sheetId="19" state="hidden" r:id="rId6"/>
    <sheet name="Q2 YTD Budget Report" sheetId="17" state="hidden" r:id="rId7"/>
    <sheet name="Q3 Budget Report" sheetId="23" state="hidden" r:id="rId8"/>
    <sheet name="YTD Budget Report" sheetId="21" r:id="rId9"/>
    <sheet name="Budget Sheet" sheetId="18" r:id="rId10"/>
    <sheet name="Forecast Year End Report" sheetId="24" r:id="rId11"/>
  </sheets>
  <definedNames>
    <definedName name="_xlnm.Print_Area" localSheetId="0">'Apr - Jun 2024'!$A$1:$AF$51</definedName>
    <definedName name="_xlnm.Print_Area" localSheetId="10">'Forecast Year End Report'!$B$2:$G$111</definedName>
    <definedName name="_xlnm.Print_Area" localSheetId="3">'Jan - March 2025'!$A$1:$AE$44</definedName>
    <definedName name="_xlnm.Print_Area" localSheetId="1">'July - Sept 2024'!$A$1:$AI$45</definedName>
    <definedName name="_xlnm.Print_Area" localSheetId="2">'Oct - Dec 2024'!$A$1:$AE$50</definedName>
    <definedName name="_xlnm.Print_Area" localSheetId="5">'Q1 YTD Budget Report '!$B$2:$G$108</definedName>
    <definedName name="_xlnm.Print_Area" localSheetId="6">'Q2 YTD Budget Report'!$B$2:$G$113</definedName>
    <definedName name="_xlnm.Print_Area" localSheetId="7">'Q3 Budget Report'!$B$2:$G$111</definedName>
    <definedName name="_xlnm.Print_Area" localSheetId="8">'YTD Budget Report'!$A$1:$G$120</definedName>
    <definedName name="_xlnm.Print_Titles" localSheetId="10">'Forecast Year End Report'!$2:$2</definedName>
    <definedName name="_xlnm.Print_Titles" localSheetId="5">'Q1 YTD Budget Report '!$2:$2</definedName>
    <definedName name="_xlnm.Print_Titles" localSheetId="6">'Q2 YTD Budget Report'!$2:$2</definedName>
    <definedName name="_xlnm.Print_Titles" localSheetId="7">'Q3 Budget Report'!$2:$2</definedName>
    <definedName name="_xlnm.Print_Titles" localSheetId="8">'YTD Budget Report'!$2:$2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I38" i="18"/>
  <c r="D39" i="24"/>
  <c r="D38" i="24"/>
  <c r="D36" i="24"/>
  <c r="D35" i="24"/>
  <c r="D34" i="24"/>
  <c r="D33" i="24"/>
  <c r="E107" i="21"/>
  <c r="C110" i="21"/>
  <c r="C106" i="21"/>
  <c r="C108" i="21"/>
  <c r="D74" i="21"/>
  <c r="D115" i="21"/>
  <c r="D80" i="21"/>
  <c r="D34" i="21"/>
  <c r="D35" i="21"/>
  <c r="D33" i="21"/>
  <c r="D21" i="21"/>
  <c r="D17" i="21"/>
  <c r="D16" i="21"/>
  <c r="AF19" i="4"/>
  <c r="J31" i="4"/>
  <c r="D92" i="24"/>
  <c r="D40" i="24"/>
  <c r="D9" i="24"/>
  <c r="D21" i="24"/>
  <c r="C110" i="24"/>
  <c r="F91" i="24"/>
  <c r="C90" i="24"/>
  <c r="D86" i="24"/>
  <c r="C85" i="24"/>
  <c r="F81" i="24"/>
  <c r="F80" i="24"/>
  <c r="E80" i="24"/>
  <c r="F79" i="24"/>
  <c r="E79" i="24"/>
  <c r="C78" i="24"/>
  <c r="C75" i="24"/>
  <c r="F74" i="24"/>
  <c r="E74" i="24"/>
  <c r="F73" i="24"/>
  <c r="E73" i="24"/>
  <c r="F72" i="24"/>
  <c r="E72" i="24"/>
  <c r="D71" i="24"/>
  <c r="D70" i="24"/>
  <c r="D69" i="24"/>
  <c r="D75" i="24" s="1"/>
  <c r="F65" i="24"/>
  <c r="F64" i="24"/>
  <c r="C63" i="24"/>
  <c r="F59" i="24"/>
  <c r="F58" i="24"/>
  <c r="E58" i="24"/>
  <c r="D57" i="24"/>
  <c r="D56" i="24"/>
  <c r="D55" i="24"/>
  <c r="C54" i="24"/>
  <c r="C51" i="24"/>
  <c r="C50" i="24"/>
  <c r="D47" i="24"/>
  <c r="F47" i="24" s="1"/>
  <c r="D46" i="24"/>
  <c r="D45" i="24"/>
  <c r="D44" i="24"/>
  <c r="C44" i="24"/>
  <c r="C40" i="24"/>
  <c r="C30" i="24"/>
  <c r="F29" i="24"/>
  <c r="E29" i="24"/>
  <c r="D28" i="24"/>
  <c r="F27" i="24"/>
  <c r="D26" i="24"/>
  <c r="F25" i="24"/>
  <c r="E25" i="24"/>
  <c r="F24" i="24"/>
  <c r="E24" i="24"/>
  <c r="D23" i="24"/>
  <c r="D22" i="24"/>
  <c r="C15" i="24"/>
  <c r="C9" i="24"/>
  <c r="F9" i="24" s="1"/>
  <c r="F8" i="24"/>
  <c r="D7" i="24"/>
  <c r="C7" i="24"/>
  <c r="F7" i="24" s="1"/>
  <c r="C6" i="24"/>
  <c r="C5" i="24"/>
  <c r="D39" i="23"/>
  <c r="D26" i="23"/>
  <c r="D21" i="23"/>
  <c r="D17" i="23"/>
  <c r="D16" i="23"/>
  <c r="C110" i="23"/>
  <c r="F91" i="23"/>
  <c r="C90" i="23"/>
  <c r="D86" i="23"/>
  <c r="F86" i="23" s="1"/>
  <c r="C85" i="23"/>
  <c r="F81" i="23"/>
  <c r="F80" i="23"/>
  <c r="E80" i="23"/>
  <c r="F79" i="23"/>
  <c r="E79" i="23"/>
  <c r="C78" i="23"/>
  <c r="C75" i="23"/>
  <c r="F74" i="23"/>
  <c r="E74" i="23"/>
  <c r="F73" i="23"/>
  <c r="E73" i="23"/>
  <c r="F72" i="23"/>
  <c r="E72" i="23"/>
  <c r="D71" i="23"/>
  <c r="D70" i="23"/>
  <c r="D69" i="23"/>
  <c r="F65" i="23"/>
  <c r="F64" i="23"/>
  <c r="C63" i="23"/>
  <c r="F59" i="23"/>
  <c r="F58" i="23"/>
  <c r="E58" i="23"/>
  <c r="D57" i="23"/>
  <c r="D55" i="23"/>
  <c r="C54" i="23"/>
  <c r="C51" i="23"/>
  <c r="C50" i="23"/>
  <c r="D47" i="23"/>
  <c r="F47" i="23" s="1"/>
  <c r="D46" i="23"/>
  <c r="D45" i="23"/>
  <c r="D44" i="23"/>
  <c r="C44" i="23"/>
  <c r="C40" i="23"/>
  <c r="D38" i="23"/>
  <c r="D37" i="23"/>
  <c r="D36" i="23"/>
  <c r="D35" i="23"/>
  <c r="D34" i="23"/>
  <c r="D33" i="23"/>
  <c r="C30" i="23"/>
  <c r="F29" i="23"/>
  <c r="D28" i="23"/>
  <c r="F27" i="23"/>
  <c r="F25" i="23"/>
  <c r="E25" i="23"/>
  <c r="F24" i="23"/>
  <c r="E24" i="23"/>
  <c r="D23" i="23"/>
  <c r="D22" i="23"/>
  <c r="C15" i="23"/>
  <c r="D9" i="23"/>
  <c r="C9" i="23"/>
  <c r="F9" i="23" s="1"/>
  <c r="D7" i="23"/>
  <c r="C7" i="23"/>
  <c r="F7" i="23" s="1"/>
  <c r="C6" i="23"/>
  <c r="C5" i="23"/>
  <c r="D28" i="21"/>
  <c r="D39" i="21"/>
  <c r="D45" i="21"/>
  <c r="O19" i="3"/>
  <c r="O11" i="3"/>
  <c r="O10" i="3"/>
  <c r="O18" i="3"/>
  <c r="O17" i="3"/>
  <c r="D36" i="21"/>
  <c r="D38" i="21"/>
  <c r="D71" i="21"/>
  <c r="D70" i="21"/>
  <c r="D69" i="21"/>
  <c r="D56" i="21"/>
  <c r="D44" i="21"/>
  <c r="D26" i="21"/>
  <c r="L47" i="3"/>
  <c r="AF21" i="3"/>
  <c r="AF22" i="3"/>
  <c r="AF23" i="3"/>
  <c r="AF24" i="3"/>
  <c r="AF25" i="3"/>
  <c r="AF26" i="3"/>
  <c r="AF13" i="3"/>
  <c r="M14" i="3"/>
  <c r="E74" i="17"/>
  <c r="E73" i="17"/>
  <c r="E72" i="17"/>
  <c r="E71" i="17"/>
  <c r="E70" i="17"/>
  <c r="F74" i="17"/>
  <c r="C75" i="17"/>
  <c r="F74" i="21"/>
  <c r="E74" i="21"/>
  <c r="C75" i="21"/>
  <c r="F91" i="21"/>
  <c r="C90" i="21"/>
  <c r="D86" i="21"/>
  <c r="F86" i="21" s="1"/>
  <c r="C85" i="21"/>
  <c r="F81" i="21"/>
  <c r="F80" i="21"/>
  <c r="E80" i="21"/>
  <c r="F79" i="21"/>
  <c r="E79" i="21"/>
  <c r="C78" i="21"/>
  <c r="F73" i="21"/>
  <c r="E73" i="21"/>
  <c r="F72" i="21"/>
  <c r="E72" i="21"/>
  <c r="F71" i="21"/>
  <c r="E71" i="21"/>
  <c r="F70" i="21"/>
  <c r="E70" i="21"/>
  <c r="F65" i="21"/>
  <c r="F64" i="21"/>
  <c r="C63" i="21"/>
  <c r="F59" i="21"/>
  <c r="F58" i="21"/>
  <c r="E58" i="21"/>
  <c r="D57" i="21"/>
  <c r="F56" i="21"/>
  <c r="E56" i="21"/>
  <c r="D55" i="21"/>
  <c r="C54" i="21"/>
  <c r="C51" i="21"/>
  <c r="C50" i="21"/>
  <c r="D47" i="21"/>
  <c r="F47" i="21" s="1"/>
  <c r="D46" i="21"/>
  <c r="C44" i="21"/>
  <c r="C40" i="21"/>
  <c r="C107" i="21" s="1"/>
  <c r="F39" i="21"/>
  <c r="E39" i="21"/>
  <c r="F38" i="21"/>
  <c r="E38" i="21"/>
  <c r="F37" i="21"/>
  <c r="E37" i="21"/>
  <c r="F36" i="21"/>
  <c r="E36" i="21"/>
  <c r="F33" i="21"/>
  <c r="E33" i="21"/>
  <c r="C30" i="21"/>
  <c r="F29" i="21"/>
  <c r="E29" i="21"/>
  <c r="F27" i="21"/>
  <c r="F25" i="21"/>
  <c r="E25" i="21"/>
  <c r="F24" i="21"/>
  <c r="E24" i="21"/>
  <c r="D23" i="21"/>
  <c r="D22" i="21"/>
  <c r="C15" i="21"/>
  <c r="D9" i="21"/>
  <c r="C9" i="21"/>
  <c r="F9" i="21" s="1"/>
  <c r="D7" i="21"/>
  <c r="C7" i="21"/>
  <c r="F7" i="21" s="1"/>
  <c r="C6" i="21"/>
  <c r="C5" i="21"/>
  <c r="F91" i="17"/>
  <c r="D86" i="17"/>
  <c r="F86" i="17" s="1"/>
  <c r="D47" i="17"/>
  <c r="D44" i="17"/>
  <c r="D34" i="17"/>
  <c r="D35" i="17"/>
  <c r="D26" i="17"/>
  <c r="D23" i="17"/>
  <c r="D21" i="17"/>
  <c r="D17" i="17"/>
  <c r="D16" i="17"/>
  <c r="D15" i="17"/>
  <c r="D23" i="19"/>
  <c r="D26" i="19"/>
  <c r="D21" i="19"/>
  <c r="D17" i="19"/>
  <c r="D16" i="19"/>
  <c r="D15" i="19"/>
  <c r="D5" i="19"/>
  <c r="D15" i="24" l="1"/>
  <c r="D15" i="21"/>
  <c r="D15" i="23"/>
  <c r="D48" i="24"/>
  <c r="F86" i="24"/>
  <c r="D87" i="24"/>
  <c r="D48" i="21"/>
  <c r="D30" i="21"/>
  <c r="D40" i="21"/>
  <c r="D30" i="24"/>
  <c r="C10" i="24"/>
  <c r="F5" i="24"/>
  <c r="E5" i="24"/>
  <c r="F6" i="24"/>
  <c r="E6" i="24"/>
  <c r="D10" i="24"/>
  <c r="E7" i="24"/>
  <c r="C18" i="24"/>
  <c r="F15" i="24"/>
  <c r="D18" i="24"/>
  <c r="E15" i="24"/>
  <c r="F16" i="24"/>
  <c r="E16" i="24"/>
  <c r="F17" i="24"/>
  <c r="E17" i="24"/>
  <c r="F21" i="24"/>
  <c r="E21" i="24"/>
  <c r="F22" i="24"/>
  <c r="E22" i="24"/>
  <c r="F23" i="24"/>
  <c r="E23" i="24"/>
  <c r="F26" i="24"/>
  <c r="E26" i="24"/>
  <c r="F28" i="24"/>
  <c r="E28" i="24"/>
  <c r="F33" i="24"/>
  <c r="E33" i="24"/>
  <c r="F34" i="24"/>
  <c r="E34" i="24"/>
  <c r="F35" i="24"/>
  <c r="E35" i="24"/>
  <c r="F36" i="24"/>
  <c r="E36" i="24"/>
  <c r="F37" i="24"/>
  <c r="E37" i="24"/>
  <c r="F38" i="24"/>
  <c r="E38" i="24"/>
  <c r="F39" i="24"/>
  <c r="E39" i="24"/>
  <c r="C48" i="24"/>
  <c r="F44" i="24"/>
  <c r="E44" i="24"/>
  <c r="F45" i="24"/>
  <c r="E45" i="24"/>
  <c r="F46" i="24"/>
  <c r="E46" i="24"/>
  <c r="C60" i="24"/>
  <c r="F55" i="24"/>
  <c r="E55" i="24"/>
  <c r="F56" i="24"/>
  <c r="E56" i="24"/>
  <c r="F57" i="24"/>
  <c r="E57" i="24"/>
  <c r="C66" i="24"/>
  <c r="F69" i="24"/>
  <c r="E69" i="24"/>
  <c r="F70" i="24"/>
  <c r="E70" i="24"/>
  <c r="F71" i="24"/>
  <c r="E71" i="24"/>
  <c r="C102" i="24"/>
  <c r="C82" i="24"/>
  <c r="C87" i="24"/>
  <c r="F85" i="24"/>
  <c r="E85" i="24"/>
  <c r="C92" i="24"/>
  <c r="F90" i="24"/>
  <c r="E90" i="24"/>
  <c r="C10" i="23"/>
  <c r="F5" i="23"/>
  <c r="E5" i="23"/>
  <c r="F6" i="23"/>
  <c r="E6" i="23"/>
  <c r="E7" i="23"/>
  <c r="C18" i="23"/>
  <c r="F15" i="23"/>
  <c r="E15" i="23"/>
  <c r="F16" i="23"/>
  <c r="E16" i="23"/>
  <c r="F17" i="23"/>
  <c r="E17" i="23"/>
  <c r="F21" i="23"/>
  <c r="E21" i="23"/>
  <c r="F22" i="23"/>
  <c r="E22" i="23"/>
  <c r="F23" i="23"/>
  <c r="E23" i="23"/>
  <c r="F26" i="23"/>
  <c r="E26" i="23"/>
  <c r="F28" i="23"/>
  <c r="E28" i="23"/>
  <c r="F33" i="23"/>
  <c r="E33" i="23"/>
  <c r="F34" i="23"/>
  <c r="E34" i="23"/>
  <c r="F35" i="23"/>
  <c r="E35" i="23"/>
  <c r="F36" i="23"/>
  <c r="E36" i="23"/>
  <c r="F37" i="23"/>
  <c r="E37" i="23"/>
  <c r="F38" i="23"/>
  <c r="E38" i="23"/>
  <c r="F39" i="23"/>
  <c r="E39" i="23"/>
  <c r="C48" i="23"/>
  <c r="F44" i="23"/>
  <c r="E44" i="23"/>
  <c r="F45" i="23"/>
  <c r="E45" i="23"/>
  <c r="F46" i="23"/>
  <c r="E46" i="23"/>
  <c r="C60" i="23"/>
  <c r="F55" i="23"/>
  <c r="E55" i="23"/>
  <c r="F56" i="23"/>
  <c r="E56" i="23"/>
  <c r="F57" i="23"/>
  <c r="E57" i="23"/>
  <c r="C66" i="23"/>
  <c r="F69" i="23"/>
  <c r="E69" i="23"/>
  <c r="F70" i="23"/>
  <c r="E70" i="23"/>
  <c r="F71" i="23"/>
  <c r="E71" i="23"/>
  <c r="C102" i="23"/>
  <c r="C82" i="23"/>
  <c r="C87" i="23"/>
  <c r="F85" i="23"/>
  <c r="E85" i="23"/>
  <c r="C92" i="23"/>
  <c r="C10" i="21"/>
  <c r="F5" i="21"/>
  <c r="E5" i="21"/>
  <c r="F6" i="21"/>
  <c r="E6" i="21"/>
  <c r="E7" i="21"/>
  <c r="C18" i="21"/>
  <c r="C105" i="21" s="1"/>
  <c r="F15" i="21"/>
  <c r="D18" i="21"/>
  <c r="E15" i="21"/>
  <c r="F16" i="21"/>
  <c r="E16" i="21"/>
  <c r="F17" i="21"/>
  <c r="E17" i="21"/>
  <c r="F21" i="21"/>
  <c r="E21" i="21"/>
  <c r="F22" i="21"/>
  <c r="E22" i="21"/>
  <c r="F23" i="21"/>
  <c r="E23" i="21"/>
  <c r="F26" i="21"/>
  <c r="E26" i="21"/>
  <c r="F28" i="21"/>
  <c r="E28" i="21"/>
  <c r="F34" i="21"/>
  <c r="E34" i="21"/>
  <c r="F35" i="21"/>
  <c r="E35" i="21"/>
  <c r="C48" i="21"/>
  <c r="F44" i="21"/>
  <c r="E44" i="21"/>
  <c r="F45" i="21"/>
  <c r="E45" i="21"/>
  <c r="F46" i="21"/>
  <c r="E46" i="21"/>
  <c r="C60" i="21"/>
  <c r="C109" i="21" s="1"/>
  <c r="F55" i="21"/>
  <c r="E55" i="21"/>
  <c r="F57" i="21"/>
  <c r="E57" i="21"/>
  <c r="C66" i="21"/>
  <c r="F69" i="21"/>
  <c r="E69" i="21"/>
  <c r="C102" i="21"/>
  <c r="C82" i="21"/>
  <c r="C87" i="21"/>
  <c r="F85" i="21"/>
  <c r="E85" i="21"/>
  <c r="C92" i="21"/>
  <c r="C107" i="19"/>
  <c r="D88" i="19"/>
  <c r="C84" i="19"/>
  <c r="C85" i="19" s="1"/>
  <c r="F80" i="19"/>
  <c r="F79" i="19"/>
  <c r="E79" i="19"/>
  <c r="F78" i="19"/>
  <c r="E78" i="19"/>
  <c r="F73" i="19"/>
  <c r="E73" i="19"/>
  <c r="F72" i="19"/>
  <c r="E72" i="19"/>
  <c r="F71" i="19"/>
  <c r="E71" i="19"/>
  <c r="F70" i="19"/>
  <c r="E70" i="19"/>
  <c r="F65" i="19"/>
  <c r="E65" i="19"/>
  <c r="C64" i="19"/>
  <c r="E64" i="19" s="1"/>
  <c r="F60" i="19"/>
  <c r="F59" i="19"/>
  <c r="E59" i="19"/>
  <c r="D58" i="19"/>
  <c r="E58" i="19" s="1"/>
  <c r="F57" i="19"/>
  <c r="E57" i="19"/>
  <c r="F56" i="19"/>
  <c r="E56" i="19"/>
  <c r="D55" i="19"/>
  <c r="F55" i="19" s="1"/>
  <c r="C54" i="19"/>
  <c r="C51" i="19"/>
  <c r="C50" i="19"/>
  <c r="D47" i="19"/>
  <c r="F47" i="19" s="1"/>
  <c r="D46" i="19"/>
  <c r="E46" i="19" s="1"/>
  <c r="D45" i="19"/>
  <c r="D44" i="19"/>
  <c r="C44" i="19"/>
  <c r="C48" i="19" s="1"/>
  <c r="C40" i="19"/>
  <c r="F39" i="19"/>
  <c r="E39" i="19"/>
  <c r="F38" i="19"/>
  <c r="E38" i="19"/>
  <c r="F37" i="19"/>
  <c r="E37" i="19"/>
  <c r="E36" i="19"/>
  <c r="F36" i="19"/>
  <c r="F35" i="19"/>
  <c r="F34" i="19"/>
  <c r="E34" i="19"/>
  <c r="F33" i="19"/>
  <c r="E33" i="19"/>
  <c r="C30" i="19"/>
  <c r="F29" i="19"/>
  <c r="D28" i="19"/>
  <c r="F28" i="19" s="1"/>
  <c r="F27" i="19"/>
  <c r="F26" i="19"/>
  <c r="E26" i="19"/>
  <c r="F25" i="19"/>
  <c r="E25" i="19"/>
  <c r="F24" i="19"/>
  <c r="E24" i="19"/>
  <c r="F23" i="19"/>
  <c r="D22" i="19"/>
  <c r="F22" i="19" s="1"/>
  <c r="E17" i="19"/>
  <c r="F16" i="19"/>
  <c r="C15" i="19"/>
  <c r="C18" i="19" s="1"/>
  <c r="D9" i="19"/>
  <c r="F8" i="19"/>
  <c r="D7" i="19"/>
  <c r="C7" i="19"/>
  <c r="F7" i="19" s="1"/>
  <c r="C6" i="19"/>
  <c r="C5" i="19"/>
  <c r="D9" i="17"/>
  <c r="D108" i="21" l="1"/>
  <c r="E108" i="21" s="1"/>
  <c r="C111" i="21"/>
  <c r="C96" i="24"/>
  <c r="E59" i="24"/>
  <c r="D105" i="24"/>
  <c r="E18" i="24"/>
  <c r="F18" i="24"/>
  <c r="E10" i="24"/>
  <c r="C98" i="24"/>
  <c r="F10" i="24"/>
  <c r="C96" i="23"/>
  <c r="E59" i="23"/>
  <c r="C98" i="23"/>
  <c r="C96" i="21"/>
  <c r="E59" i="21"/>
  <c r="D105" i="21"/>
  <c r="E18" i="21"/>
  <c r="F18" i="21"/>
  <c r="C98" i="21"/>
  <c r="E6" i="19"/>
  <c r="F45" i="19"/>
  <c r="E45" i="19"/>
  <c r="C66" i="19"/>
  <c r="D18" i="19"/>
  <c r="F17" i="19"/>
  <c r="E23" i="19"/>
  <c r="D30" i="19"/>
  <c r="F30" i="19" s="1"/>
  <c r="E28" i="19"/>
  <c r="E44" i="19"/>
  <c r="F46" i="19"/>
  <c r="E55" i="19"/>
  <c r="F64" i="19"/>
  <c r="E7" i="19"/>
  <c r="F6" i="19"/>
  <c r="E16" i="19"/>
  <c r="F58" i="19"/>
  <c r="F18" i="19"/>
  <c r="E18" i="19"/>
  <c r="D102" i="19"/>
  <c r="D10" i="19"/>
  <c r="E5" i="19"/>
  <c r="E15" i="19"/>
  <c r="E22" i="19"/>
  <c r="E35" i="19"/>
  <c r="C61" i="19"/>
  <c r="E69" i="19"/>
  <c r="E84" i="19"/>
  <c r="F5" i="19"/>
  <c r="F15" i="19"/>
  <c r="E21" i="19"/>
  <c r="F44" i="19"/>
  <c r="F69" i="19"/>
  <c r="F84" i="19"/>
  <c r="F21" i="19"/>
  <c r="E105" i="21" l="1"/>
  <c r="F105" i="24"/>
  <c r="E105" i="24"/>
  <c r="F105" i="21"/>
  <c r="D103" i="19"/>
  <c r="E30" i="19"/>
  <c r="F102" i="19"/>
  <c r="E102" i="19"/>
  <c r="E60" i="19"/>
  <c r="D12" i="19"/>
  <c r="F103" i="19"/>
  <c r="E103" i="19"/>
  <c r="D57" i="17"/>
  <c r="D55" i="17"/>
  <c r="D22" i="17"/>
  <c r="D7" i="17"/>
  <c r="G37" i="1"/>
  <c r="C50" i="17" l="1"/>
  <c r="C7" i="17"/>
  <c r="C6" i="17"/>
  <c r="C5" i="17"/>
  <c r="C85" i="17"/>
  <c r="C63" i="17"/>
  <c r="C54" i="17"/>
  <c r="C44" i="17"/>
  <c r="C51" i="17"/>
  <c r="C15" i="17" l="1"/>
  <c r="C100" i="18"/>
  <c r="C98" i="18"/>
  <c r="C97" i="18"/>
  <c r="C83" i="18"/>
  <c r="C82" i="18"/>
  <c r="C81" i="18"/>
  <c r="I70" i="18"/>
  <c r="I74" i="18" s="1"/>
  <c r="I48" i="18" s="1"/>
  <c r="I67" i="18"/>
  <c r="G67" i="18"/>
  <c r="F67" i="18"/>
  <c r="E67" i="18"/>
  <c r="D67" i="18"/>
  <c r="C67" i="18"/>
  <c r="F64" i="18"/>
  <c r="E64" i="18"/>
  <c r="D64" i="18"/>
  <c r="J63" i="18"/>
  <c r="K63" i="18" s="1"/>
  <c r="H63" i="18"/>
  <c r="J61" i="18"/>
  <c r="H61" i="18"/>
  <c r="G60" i="18"/>
  <c r="J59" i="18"/>
  <c r="H59" i="18"/>
  <c r="J58" i="18"/>
  <c r="H58" i="18"/>
  <c r="G57" i="18"/>
  <c r="C57" i="18"/>
  <c r="J56" i="18"/>
  <c r="K56" i="18" s="1"/>
  <c r="I55" i="18"/>
  <c r="G55" i="18"/>
  <c r="H55" i="18" s="1"/>
  <c r="J54" i="18"/>
  <c r="K54" i="18" s="1"/>
  <c r="H54" i="18"/>
  <c r="J53" i="18"/>
  <c r="K53" i="18" s="1"/>
  <c r="H53" i="18"/>
  <c r="C53" i="18"/>
  <c r="J52" i="18"/>
  <c r="K52" i="18" s="1"/>
  <c r="H52" i="18"/>
  <c r="C52" i="18"/>
  <c r="C64" i="18" s="1"/>
  <c r="E36" i="18"/>
  <c r="E45" i="18" s="1"/>
  <c r="D36" i="18"/>
  <c r="D45" i="18" s="1"/>
  <c r="J35" i="18"/>
  <c r="H35" i="18"/>
  <c r="I34" i="18"/>
  <c r="H34" i="18"/>
  <c r="J33" i="18"/>
  <c r="H33" i="18"/>
  <c r="G32" i="18"/>
  <c r="F32" i="18"/>
  <c r="F36" i="18" s="1"/>
  <c r="F45" i="18" s="1"/>
  <c r="J31" i="18"/>
  <c r="H31" i="18"/>
  <c r="I30" i="18"/>
  <c r="H30" i="18"/>
  <c r="I29" i="18"/>
  <c r="H29" i="18"/>
  <c r="J28" i="18"/>
  <c r="K28" i="18" s="1"/>
  <c r="H28" i="18"/>
  <c r="J27" i="18"/>
  <c r="K27" i="18" s="1"/>
  <c r="H27" i="18"/>
  <c r="J26" i="18"/>
  <c r="K26" i="18" s="1"/>
  <c r="H26" i="18"/>
  <c r="J25" i="18"/>
  <c r="K25" i="18" s="1"/>
  <c r="H25" i="18"/>
  <c r="J24" i="18"/>
  <c r="K24" i="18" s="1"/>
  <c r="H24" i="18"/>
  <c r="J23" i="18"/>
  <c r="K23" i="18" s="1"/>
  <c r="H23" i="18"/>
  <c r="I22" i="18"/>
  <c r="H22" i="18"/>
  <c r="J21" i="18"/>
  <c r="K21" i="18" s="1"/>
  <c r="H21" i="18"/>
  <c r="C21" i="18"/>
  <c r="C36" i="18" s="1"/>
  <c r="C45" i="18" s="1"/>
  <c r="J20" i="18"/>
  <c r="H20" i="18"/>
  <c r="G13" i="18"/>
  <c r="G15" i="18" s="1"/>
  <c r="F13" i="18"/>
  <c r="E13" i="18"/>
  <c r="D13" i="18"/>
  <c r="D15" i="18" s="1"/>
  <c r="I12" i="18"/>
  <c r="H12" i="18"/>
  <c r="C12" i="18"/>
  <c r="C13" i="18" s="1"/>
  <c r="J11" i="18"/>
  <c r="H11" i="18"/>
  <c r="J10" i="18"/>
  <c r="H10" i="18"/>
  <c r="J9" i="18"/>
  <c r="K9" i="18" s="1"/>
  <c r="H9" i="18"/>
  <c r="J8" i="18"/>
  <c r="K8" i="18" s="1"/>
  <c r="H8" i="18"/>
  <c r="J7" i="18"/>
  <c r="H7" i="18"/>
  <c r="H13" i="18" l="1"/>
  <c r="C85" i="18"/>
  <c r="C9" i="19"/>
  <c r="C9" i="17"/>
  <c r="C10" i="17" s="1"/>
  <c r="J12" i="18"/>
  <c r="J13" i="18" s="1"/>
  <c r="E44" i="18"/>
  <c r="E46" i="18" s="1"/>
  <c r="E15" i="18"/>
  <c r="F44" i="18"/>
  <c r="F46" i="18" s="1"/>
  <c r="F15" i="18"/>
  <c r="C99" i="18"/>
  <c r="J22" i="18"/>
  <c r="J29" i="18"/>
  <c r="K29" i="18" s="1"/>
  <c r="J30" i="18"/>
  <c r="K30" i="18" s="1"/>
  <c r="C77" i="19"/>
  <c r="C78" i="17"/>
  <c r="G36" i="18"/>
  <c r="G45" i="18" s="1"/>
  <c r="J32" i="18"/>
  <c r="K32" i="18" s="1"/>
  <c r="H32" i="18"/>
  <c r="H36" i="18" s="1"/>
  <c r="J34" i="18"/>
  <c r="K34" i="18" s="1"/>
  <c r="C88" i="19"/>
  <c r="C90" i="17"/>
  <c r="J55" i="18"/>
  <c r="K55" i="18" s="1"/>
  <c r="H57" i="18"/>
  <c r="J57" i="18"/>
  <c r="K57" i="18" s="1"/>
  <c r="H60" i="18"/>
  <c r="J60" i="18"/>
  <c r="C44" i="18"/>
  <c r="C46" i="18" s="1"/>
  <c r="C15" i="18"/>
  <c r="C38" i="18"/>
  <c r="J15" i="18"/>
  <c r="H15" i="18"/>
  <c r="H38" i="18"/>
  <c r="G44" i="18"/>
  <c r="G46" i="18" s="1"/>
  <c r="I43" i="18" s="1"/>
  <c r="I64" i="18"/>
  <c r="K20" i="18"/>
  <c r="D38" i="18"/>
  <c r="D44" i="18"/>
  <c r="D46" i="18" s="1"/>
  <c r="G38" i="18"/>
  <c r="K7" i="18"/>
  <c r="I36" i="18"/>
  <c r="I45" i="18" s="1"/>
  <c r="J64" i="18"/>
  <c r="C101" i="18"/>
  <c r="C102" i="18" s="1"/>
  <c r="C103" i="18" s="1"/>
  <c r="I13" i="18"/>
  <c r="K13" i="18" s="1"/>
  <c r="E38" i="18"/>
  <c r="G64" i="18"/>
  <c r="F38" i="18"/>
  <c r="H64" i="18" l="1"/>
  <c r="C89" i="19"/>
  <c r="E88" i="19"/>
  <c r="F88" i="19"/>
  <c r="C81" i="19"/>
  <c r="C99" i="19"/>
  <c r="K22" i="18"/>
  <c r="J36" i="18"/>
  <c r="F9" i="19"/>
  <c r="C10" i="19"/>
  <c r="I14" i="18"/>
  <c r="I44" i="18"/>
  <c r="I46" i="18" s="1"/>
  <c r="K36" i="18"/>
  <c r="C11" i="24" l="1"/>
  <c r="C12" i="24" s="1"/>
  <c r="C11" i="23"/>
  <c r="C12" i="23" s="1"/>
  <c r="C11" i="21"/>
  <c r="C12" i="21" s="1"/>
  <c r="C84" i="18"/>
  <c r="C86" i="18" s="1"/>
  <c r="C11" i="19"/>
  <c r="F11" i="19" s="1"/>
  <c r="C11" i="17"/>
  <c r="C12" i="17" s="1"/>
  <c r="C12" i="19"/>
  <c r="F10" i="19"/>
  <c r="E10" i="19"/>
  <c r="C93" i="19"/>
  <c r="C95" i="19" s="1"/>
  <c r="I15" i="18"/>
  <c r="K15" i="18" s="1"/>
  <c r="E12" i="19" l="1"/>
  <c r="F12" i="19"/>
  <c r="C87" i="18"/>
  <c r="D45" i="17" l="1"/>
  <c r="F85" i="17" l="1"/>
  <c r="F81" i="17"/>
  <c r="F79" i="17"/>
  <c r="F72" i="17"/>
  <c r="F71" i="17"/>
  <c r="F70" i="17"/>
  <c r="F64" i="17"/>
  <c r="F59" i="17"/>
  <c r="F29" i="17"/>
  <c r="F27" i="17"/>
  <c r="F24" i="17"/>
  <c r="F22" i="17"/>
  <c r="F80" i="17"/>
  <c r="F26" i="17"/>
  <c r="F21" i="17"/>
  <c r="D28" i="17"/>
  <c r="F28" i="17" s="1"/>
  <c r="F44" i="17" l="1"/>
  <c r="F39" i="17"/>
  <c r="F45" i="17"/>
  <c r="D46" i="17"/>
  <c r="F46" i="17" s="1"/>
  <c r="F25" i="17" l="1"/>
  <c r="F15" i="17"/>
  <c r="F17" i="17"/>
  <c r="F16" i="17"/>
  <c r="G22" i="5" l="1"/>
  <c r="AF18" i="3" l="1"/>
  <c r="C112" i="17" l="1"/>
  <c r="O33" i="2"/>
  <c r="C48" i="17"/>
  <c r="F47" i="17"/>
  <c r="O39" i="3"/>
  <c r="F35" i="17"/>
  <c r="AF32" i="3" l="1"/>
  <c r="AF37" i="3"/>
  <c r="F73" i="17"/>
  <c r="F69" i="17"/>
  <c r="F56" i="17"/>
  <c r="AF12" i="1"/>
  <c r="AF29" i="2"/>
  <c r="F23" i="17"/>
  <c r="C92" i="17" l="1"/>
  <c r="C87" i="17"/>
  <c r="E85" i="17"/>
  <c r="C82" i="17"/>
  <c r="E80" i="17"/>
  <c r="E79" i="17"/>
  <c r="E69" i="17"/>
  <c r="C66" i="17"/>
  <c r="F65" i="17"/>
  <c r="C60" i="17"/>
  <c r="E59" i="17" s="1"/>
  <c r="F57" i="17"/>
  <c r="E56" i="17"/>
  <c r="F55" i="17"/>
  <c r="E46" i="17"/>
  <c r="E45" i="17"/>
  <c r="E44" i="17"/>
  <c r="E39" i="17"/>
  <c r="F37" i="17"/>
  <c r="E35" i="17"/>
  <c r="F34" i="17"/>
  <c r="F33" i="17"/>
  <c r="D30" i="17"/>
  <c r="C30" i="17"/>
  <c r="E28" i="17"/>
  <c r="E26" i="17"/>
  <c r="E25" i="17"/>
  <c r="E24" i="17"/>
  <c r="E23" i="17"/>
  <c r="E22" i="17"/>
  <c r="E21" i="17"/>
  <c r="C18" i="17"/>
  <c r="E17" i="17"/>
  <c r="E16" i="17"/>
  <c r="F9" i="17"/>
  <c r="AF28" i="3"/>
  <c r="AF29" i="3"/>
  <c r="L39" i="3"/>
  <c r="K39" i="3"/>
  <c r="J39" i="3"/>
  <c r="I39" i="3"/>
  <c r="H39" i="3"/>
  <c r="G39" i="3"/>
  <c r="F6" i="17" l="1"/>
  <c r="F30" i="17"/>
  <c r="E38" i="17"/>
  <c r="F38" i="17"/>
  <c r="C104" i="17"/>
  <c r="E36" i="17"/>
  <c r="F36" i="17"/>
  <c r="E7" i="17"/>
  <c r="F7" i="17"/>
  <c r="E34" i="17"/>
  <c r="E33" i="17"/>
  <c r="C40" i="17"/>
  <c r="C96" i="17" s="1"/>
  <c r="E6" i="17"/>
  <c r="E37" i="17"/>
  <c r="E30" i="17"/>
  <c r="D108" i="17"/>
  <c r="D18" i="17"/>
  <c r="F18" i="17" s="1"/>
  <c r="E15" i="17"/>
  <c r="E55" i="17"/>
  <c r="E57" i="17"/>
  <c r="AF6" i="2"/>
  <c r="E108" i="17" l="1"/>
  <c r="F108" i="17"/>
  <c r="D107" i="17"/>
  <c r="F107" i="17" s="1"/>
  <c r="E18" i="17"/>
  <c r="C98" i="17"/>
  <c r="E107" i="17" l="1"/>
  <c r="AF31" i="2" l="1"/>
  <c r="AF30" i="2"/>
  <c r="AF28" i="2"/>
  <c r="AF27" i="2"/>
  <c r="AF26" i="2"/>
  <c r="AF25" i="2"/>
  <c r="AF6" i="1"/>
  <c r="AF7" i="1"/>
  <c r="G33" i="2"/>
  <c r="K37" i="1"/>
  <c r="I37" i="1"/>
  <c r="H37" i="1"/>
  <c r="G39" i="1"/>
  <c r="G5" i="2" s="1"/>
  <c r="G32" i="2" s="1"/>
  <c r="F58" i="17" l="1"/>
  <c r="E58" i="17" l="1"/>
  <c r="AH32" i="2" l="1"/>
  <c r="AH38" i="1"/>
  <c r="AH39" i="1" s="1"/>
  <c r="AH37" i="1"/>
  <c r="AH31" i="4"/>
  <c r="AH39" i="3" l="1"/>
  <c r="AH5" i="2"/>
  <c r="AH33" i="2"/>
  <c r="G14" i="5"/>
  <c r="AF27" i="4"/>
  <c r="AF20" i="4"/>
  <c r="AF21" i="4"/>
  <c r="AF22" i="4"/>
  <c r="AF23" i="4"/>
  <c r="AF24" i="4"/>
  <c r="AF25" i="4"/>
  <c r="AF26" i="4"/>
  <c r="AH34" i="2" l="1"/>
  <c r="AH5" i="3" s="1"/>
  <c r="AH40" i="3" s="1"/>
  <c r="AH5" i="4" s="1"/>
  <c r="AF19" i="3"/>
  <c r="AF34" i="3"/>
  <c r="AH38" i="3" l="1"/>
  <c r="AH32" i="4"/>
  <c r="D102" i="21" s="1"/>
  <c r="AH30" i="4"/>
  <c r="AF31" i="3"/>
  <c r="AF30" i="3"/>
  <c r="AF27" i="3"/>
  <c r="AF20" i="3"/>
  <c r="AF9" i="3"/>
  <c r="AF10" i="3"/>
  <c r="AF11" i="3"/>
  <c r="AF16" i="3"/>
  <c r="AF15" i="3"/>
  <c r="AF14" i="3"/>
  <c r="AF12" i="3"/>
  <c r="AF17" i="3"/>
  <c r="AF17" i="2"/>
  <c r="AF18" i="2"/>
  <c r="AF19" i="2"/>
  <c r="AF20" i="2"/>
  <c r="AF21" i="2"/>
  <c r="AF22" i="2"/>
  <c r="AF2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C32" i="2"/>
  <c r="AC34" i="2" l="1"/>
  <c r="AF18" i="1"/>
  <c r="AF32" i="1"/>
  <c r="AC5" i="3" l="1"/>
  <c r="AC5" i="2"/>
  <c r="AF19" i="1"/>
  <c r="AF26" i="1"/>
  <c r="T39" i="3"/>
  <c r="U39" i="3"/>
  <c r="S37" i="1"/>
  <c r="S39" i="1" s="1"/>
  <c r="T37" i="1"/>
  <c r="T39" i="1" s="1"/>
  <c r="S38" i="1"/>
  <c r="T38" i="1"/>
  <c r="T31" i="4"/>
  <c r="U31" i="4"/>
  <c r="D54" i="24" l="1"/>
  <c r="D54" i="23"/>
  <c r="D54" i="21"/>
  <c r="S32" i="2"/>
  <c r="S34" i="2" s="1"/>
  <c r="D54" i="19"/>
  <c r="D54" i="17"/>
  <c r="S5" i="2"/>
  <c r="T5" i="2"/>
  <c r="T32" i="2"/>
  <c r="T34" i="2" s="1"/>
  <c r="F54" i="21" l="1"/>
  <c r="E54" i="21"/>
  <c r="F54" i="23"/>
  <c r="E54" i="23"/>
  <c r="D60" i="24"/>
  <c r="F54" i="24"/>
  <c r="E54" i="24"/>
  <c r="F54" i="17"/>
  <c r="E54" i="17"/>
  <c r="E54" i="19"/>
  <c r="F54" i="19"/>
  <c r="AF16" i="2"/>
  <c r="AF15" i="2"/>
  <c r="AF14" i="2"/>
  <c r="AF13" i="2"/>
  <c r="AF12" i="2"/>
  <c r="AF11" i="2"/>
  <c r="AF10" i="2"/>
  <c r="AF9" i="2"/>
  <c r="AF8" i="2"/>
  <c r="AF7" i="2"/>
  <c r="AF36" i="1"/>
  <c r="AF35" i="1"/>
  <c r="AF34" i="1"/>
  <c r="AF33" i="1"/>
  <c r="AF31" i="1"/>
  <c r="AF30" i="1"/>
  <c r="AF29" i="1"/>
  <c r="AF28" i="1"/>
  <c r="AF27" i="1"/>
  <c r="AF25" i="1"/>
  <c r="AF24" i="1"/>
  <c r="AF23" i="1"/>
  <c r="AF22" i="1"/>
  <c r="AF21" i="1"/>
  <c r="AF20" i="1"/>
  <c r="AF17" i="1"/>
  <c r="AF16" i="1"/>
  <c r="AF15" i="1"/>
  <c r="AF14" i="1"/>
  <c r="AF13" i="1"/>
  <c r="AF11" i="1"/>
  <c r="AF10" i="1"/>
  <c r="AF9" i="1"/>
  <c r="AF8" i="1"/>
  <c r="K38" i="1"/>
  <c r="J38" i="1"/>
  <c r="I38" i="1"/>
  <c r="H38" i="1"/>
  <c r="P38" i="1"/>
  <c r="O38" i="1"/>
  <c r="N38" i="1"/>
  <c r="M38" i="1"/>
  <c r="AD38" i="1"/>
  <c r="AC38" i="1"/>
  <c r="AB38" i="1"/>
  <c r="AA38" i="1"/>
  <c r="Z38" i="1"/>
  <c r="Y38" i="1"/>
  <c r="X38" i="1"/>
  <c r="W38" i="1"/>
  <c r="V38" i="1"/>
  <c r="U38" i="1"/>
  <c r="R38" i="1"/>
  <c r="Q38" i="1"/>
  <c r="Q37" i="1"/>
  <c r="Q39" i="1" s="1"/>
  <c r="G38" i="1" l="1"/>
  <c r="Q5" i="2"/>
  <c r="Q32" i="2"/>
  <c r="Q34" i="2" s="1"/>
  <c r="AF18" i="4"/>
  <c r="AF9" i="4"/>
  <c r="AF8" i="4"/>
  <c r="AF7" i="4"/>
  <c r="AF10" i="4"/>
  <c r="AF11" i="4"/>
  <c r="AF12" i="4"/>
  <c r="AF13" i="4"/>
  <c r="AF14" i="4"/>
  <c r="AF15" i="4"/>
  <c r="AF16" i="4"/>
  <c r="AF17" i="4"/>
  <c r="AF28" i="4"/>
  <c r="AF29" i="4"/>
  <c r="Q31" i="4" l="1"/>
  <c r="G31" i="4"/>
  <c r="AF7" i="3" l="1"/>
  <c r="AF8" i="3"/>
  <c r="AF33" i="3"/>
  <c r="AF35" i="3"/>
  <c r="AF6" i="3"/>
  <c r="AD39" i="3"/>
  <c r="AC39" i="3"/>
  <c r="AC40" i="3" s="1"/>
  <c r="AC5" i="4" s="1"/>
  <c r="AB39" i="3"/>
  <c r="AA39" i="3"/>
  <c r="Z39" i="3"/>
  <c r="Y39" i="3"/>
  <c r="X39" i="3"/>
  <c r="W39" i="3"/>
  <c r="V39" i="3"/>
  <c r="S39" i="3"/>
  <c r="R39" i="3"/>
  <c r="Q39" i="3"/>
  <c r="P39" i="3"/>
  <c r="N39" i="3"/>
  <c r="AC38" i="3"/>
  <c r="AC30" i="4" l="1"/>
  <c r="AC32" i="4"/>
  <c r="AC41" i="3"/>
  <c r="AC33" i="4" l="1"/>
  <c r="M39" i="3"/>
  <c r="AF36" i="3"/>
  <c r="AF39" i="3" l="1"/>
  <c r="Q5" i="3"/>
  <c r="Q40" i="3" l="1"/>
  <c r="Q38" i="3"/>
  <c r="Q5" i="4" l="1"/>
  <c r="Q30" i="4" s="1"/>
  <c r="Q41" i="3"/>
  <c r="G43" i="1"/>
  <c r="Q32" i="4" l="1"/>
  <c r="D50" i="21" l="1"/>
  <c r="D50" i="23"/>
  <c r="F50" i="21"/>
  <c r="E50" i="21"/>
  <c r="Q33" i="4"/>
  <c r="D50" i="19"/>
  <c r="D50" i="17"/>
  <c r="F50" i="23" l="1"/>
  <c r="E50" i="23"/>
  <c r="F50" i="24"/>
  <c r="E50" i="24"/>
  <c r="F50" i="19"/>
  <c r="E50" i="19"/>
  <c r="E50" i="17"/>
  <c r="F50" i="17"/>
  <c r="M33" i="2" l="1"/>
  <c r="N33" i="2"/>
  <c r="G8" i="5" l="1"/>
  <c r="G10" i="5" s="1"/>
  <c r="L38" i="4"/>
  <c r="L40" i="4" s="1"/>
  <c r="AD31" i="4"/>
  <c r="AB31" i="4"/>
  <c r="AA31" i="4"/>
  <c r="Z31" i="4"/>
  <c r="Y31" i="4"/>
  <c r="X31" i="4"/>
  <c r="W31" i="4"/>
  <c r="V31" i="4"/>
  <c r="S31" i="4"/>
  <c r="R31" i="4"/>
  <c r="P31" i="4"/>
  <c r="O31" i="4"/>
  <c r="N31" i="4"/>
  <c r="M31" i="4"/>
  <c r="L31" i="4"/>
  <c r="K31" i="4"/>
  <c r="I31" i="4"/>
  <c r="H31" i="4"/>
  <c r="L46" i="3"/>
  <c r="L48" i="3" s="1"/>
  <c r="L40" i="2"/>
  <c r="L33" i="2"/>
  <c r="K33" i="2"/>
  <c r="J33" i="2"/>
  <c r="I33" i="2"/>
  <c r="H33" i="2"/>
  <c r="L45" i="1"/>
  <c r="AD37" i="1"/>
  <c r="AD39" i="1" s="1"/>
  <c r="AB37" i="1"/>
  <c r="AB39" i="1" s="1"/>
  <c r="AA37" i="1"/>
  <c r="AA39" i="1" s="1"/>
  <c r="Z37" i="1"/>
  <c r="Z39" i="1" s="1"/>
  <c r="Y37" i="1"/>
  <c r="Y39" i="1" s="1"/>
  <c r="X37" i="1"/>
  <c r="X39" i="1" s="1"/>
  <c r="W37" i="1"/>
  <c r="W39" i="1" s="1"/>
  <c r="W32" i="2" s="1"/>
  <c r="W34" i="2" s="1"/>
  <c r="V37" i="1"/>
  <c r="V39" i="1" s="1"/>
  <c r="V32" i="2" s="1"/>
  <c r="V34" i="2" s="1"/>
  <c r="D75" i="17" s="1"/>
  <c r="U37" i="1"/>
  <c r="U39" i="1" s="1"/>
  <c r="R37" i="1"/>
  <c r="R39" i="1" s="1"/>
  <c r="R32" i="2" s="1"/>
  <c r="R34" i="2" s="1"/>
  <c r="P37" i="1"/>
  <c r="P39" i="1" s="1"/>
  <c r="P32" i="2" s="1"/>
  <c r="P34" i="2" s="1"/>
  <c r="O37" i="1"/>
  <c r="O39" i="1" s="1"/>
  <c r="D40" i="19" s="1"/>
  <c r="N37" i="1"/>
  <c r="N39" i="1" s="1"/>
  <c r="N32" i="2" s="1"/>
  <c r="N34" i="2" s="1"/>
  <c r="M37" i="1"/>
  <c r="L37" i="1"/>
  <c r="K39" i="1"/>
  <c r="J37" i="1"/>
  <c r="J39" i="1" s="1"/>
  <c r="I39" i="1"/>
  <c r="O32" i="2" l="1"/>
  <c r="O34" i="2" s="1"/>
  <c r="D40" i="17" s="1"/>
  <c r="X5" i="2"/>
  <c r="X32" i="2"/>
  <c r="X34" i="2" s="1"/>
  <c r="Y5" i="2"/>
  <c r="Y32" i="2"/>
  <c r="Y34" i="2" s="1"/>
  <c r="Y5" i="3" s="1"/>
  <c r="Z5" i="2"/>
  <c r="Z32" i="2"/>
  <c r="Z34" i="2" s="1"/>
  <c r="AB5" i="2"/>
  <c r="AB32" i="2"/>
  <c r="AB34" i="2" s="1"/>
  <c r="D102" i="17" s="1"/>
  <c r="U5" i="2"/>
  <c r="U32" i="2"/>
  <c r="U34" i="2" s="1"/>
  <c r="AD5" i="2"/>
  <c r="AD32" i="2"/>
  <c r="AD34" i="2" s="1"/>
  <c r="AA5" i="2"/>
  <c r="AA32" i="2"/>
  <c r="AA34" i="2" s="1"/>
  <c r="T5" i="3"/>
  <c r="T40" i="3" s="1"/>
  <c r="T5" i="4" s="1"/>
  <c r="V5" i="2"/>
  <c r="W5" i="2"/>
  <c r="W5" i="3" s="1"/>
  <c r="AF33" i="2"/>
  <c r="O5" i="2"/>
  <c r="V5" i="3"/>
  <c r="R5" i="2"/>
  <c r="R5" i="3" s="1"/>
  <c r="R40" i="3" s="1"/>
  <c r="P5" i="2"/>
  <c r="P5" i="3" s="1"/>
  <c r="P38" i="3" s="1"/>
  <c r="S5" i="3"/>
  <c r="AF37" i="1"/>
  <c r="AF31" i="4"/>
  <c r="N5" i="2"/>
  <c r="M41" i="1"/>
  <c r="G47" i="1" s="1"/>
  <c r="H39" i="1"/>
  <c r="H5" i="2" s="1"/>
  <c r="H32" i="2" s="1"/>
  <c r="H34" i="2" s="1"/>
  <c r="G45" i="1"/>
  <c r="H41" i="1"/>
  <c r="G44" i="1" s="1"/>
  <c r="M39" i="1"/>
  <c r="M32" i="2" s="1"/>
  <c r="X5" i="3"/>
  <c r="K5" i="2"/>
  <c r="K32" i="2" s="1"/>
  <c r="K34" i="2" s="1"/>
  <c r="K5" i="3" s="1"/>
  <c r="J5" i="2"/>
  <c r="J32" i="2" s="1"/>
  <c r="J34" i="2" s="1"/>
  <c r="J5" i="3" s="1"/>
  <c r="I5" i="2"/>
  <c r="I32" i="2" s="1"/>
  <c r="I34" i="2" s="1"/>
  <c r="I5" i="3" s="1"/>
  <c r="L47" i="1"/>
  <c r="L39" i="1"/>
  <c r="L32" i="2" s="1"/>
  <c r="L34" i="2" s="1"/>
  <c r="G36" i="4"/>
  <c r="G44" i="3"/>
  <c r="G38" i="2"/>
  <c r="L38" i="1"/>
  <c r="AF38" i="1" s="1"/>
  <c r="L42" i="2"/>
  <c r="D90" i="23" l="1"/>
  <c r="D90" i="21"/>
  <c r="D90" i="17"/>
  <c r="AD5" i="3"/>
  <c r="D94" i="17"/>
  <c r="O5" i="3"/>
  <c r="O40" i="3" s="1"/>
  <c r="D40" i="23" s="1"/>
  <c r="AA5" i="3"/>
  <c r="AA40" i="3" s="1"/>
  <c r="Z5" i="3"/>
  <c r="Z38" i="3" s="1"/>
  <c r="AB5" i="3"/>
  <c r="AB38" i="3" s="1"/>
  <c r="U5" i="3"/>
  <c r="U38" i="3" s="1"/>
  <c r="T38" i="3"/>
  <c r="M36" i="2"/>
  <c r="G41" i="2" s="1"/>
  <c r="G48" i="1"/>
  <c r="M34" i="2"/>
  <c r="N5" i="3"/>
  <c r="N40" i="3" s="1"/>
  <c r="V38" i="3"/>
  <c r="S40" i="3"/>
  <c r="D60" i="23" s="1"/>
  <c r="AD40" i="3"/>
  <c r="D94" i="23" s="1"/>
  <c r="F94" i="23" s="1"/>
  <c r="T30" i="4"/>
  <c r="T32" i="4"/>
  <c r="P40" i="3"/>
  <c r="S38" i="3"/>
  <c r="R38" i="3"/>
  <c r="R41" i="3" s="1"/>
  <c r="M5" i="2"/>
  <c r="AF39" i="1"/>
  <c r="I40" i="3"/>
  <c r="I38" i="3"/>
  <c r="X40" i="3"/>
  <c r="X5" i="4" s="1"/>
  <c r="X38" i="3"/>
  <c r="J40" i="3"/>
  <c r="J5" i="4" s="1"/>
  <c r="J30" i="4" s="1"/>
  <c r="J38" i="3"/>
  <c r="W40" i="3"/>
  <c r="D82" i="23" s="1"/>
  <c r="W38" i="3"/>
  <c r="Y38" i="3"/>
  <c r="Y40" i="3"/>
  <c r="K38" i="3"/>
  <c r="K40" i="3"/>
  <c r="AD38" i="3"/>
  <c r="H36" i="2"/>
  <c r="G39" i="2" s="1"/>
  <c r="G40" i="2" s="1"/>
  <c r="G46" i="1"/>
  <c r="R5" i="4"/>
  <c r="L5" i="2"/>
  <c r="H5" i="3"/>
  <c r="E82" i="23" l="1"/>
  <c r="F82" i="23"/>
  <c r="D108" i="23"/>
  <c r="D61" i="23"/>
  <c r="E60" i="23"/>
  <c r="F60" i="23"/>
  <c r="N5" i="4"/>
  <c r="N32" i="4" s="1"/>
  <c r="D31" i="21" s="1"/>
  <c r="D30" i="23"/>
  <c r="F40" i="23"/>
  <c r="D41" i="23"/>
  <c r="D107" i="23"/>
  <c r="E40" i="23"/>
  <c r="F90" i="21"/>
  <c r="E90" i="21"/>
  <c r="F90" i="23"/>
  <c r="E90" i="23"/>
  <c r="O38" i="3"/>
  <c r="O41" i="3" s="1"/>
  <c r="O5" i="4"/>
  <c r="O30" i="4" s="1"/>
  <c r="W5" i="4"/>
  <c r="W30" i="4" s="1"/>
  <c r="Z40" i="3"/>
  <c r="D87" i="23" s="1"/>
  <c r="S5" i="4"/>
  <c r="S30" i="4" s="1"/>
  <c r="K5" i="4"/>
  <c r="K30" i="4" s="1"/>
  <c r="AA5" i="4"/>
  <c r="AD5" i="4"/>
  <c r="Y5" i="4"/>
  <c r="Y30" i="4" s="1"/>
  <c r="AA38" i="3"/>
  <c r="AA41" i="3" s="1"/>
  <c r="AB40" i="3"/>
  <c r="D92" i="23" s="1"/>
  <c r="U40" i="3"/>
  <c r="D66" i="23" s="1"/>
  <c r="G49" i="1"/>
  <c r="P41" i="3"/>
  <c r="P5" i="4"/>
  <c r="P30" i="4" s="1"/>
  <c r="N38" i="3"/>
  <c r="N41" i="3" s="1"/>
  <c r="M5" i="3"/>
  <c r="M40" i="3" s="1"/>
  <c r="D18" i="23" s="1"/>
  <c r="G42" i="2"/>
  <c r="G43" i="2" s="1"/>
  <c r="S41" i="3"/>
  <c r="V40" i="3"/>
  <c r="D75" i="23" s="1"/>
  <c r="AF32" i="2"/>
  <c r="I41" i="3"/>
  <c r="I5" i="4"/>
  <c r="I32" i="4" s="1"/>
  <c r="Y41" i="3"/>
  <c r="K41" i="3"/>
  <c r="J41" i="3"/>
  <c r="W41" i="3"/>
  <c r="X41" i="3"/>
  <c r="H38" i="3"/>
  <c r="H40" i="3"/>
  <c r="N30" i="4"/>
  <c r="R30" i="4"/>
  <c r="R32" i="4"/>
  <c r="J32" i="4"/>
  <c r="O32" i="4"/>
  <c r="D41" i="21" s="1"/>
  <c r="X30" i="4"/>
  <c r="X32" i="4"/>
  <c r="W32" i="4"/>
  <c r="AD41" i="3"/>
  <c r="F75" i="23" l="1"/>
  <c r="D76" i="23"/>
  <c r="E75" i="23"/>
  <c r="D19" i="23"/>
  <c r="D105" i="23"/>
  <c r="E18" i="23"/>
  <c r="F18" i="23"/>
  <c r="E66" i="23"/>
  <c r="F66" i="23"/>
  <c r="E92" i="23"/>
  <c r="F92" i="23"/>
  <c r="E87" i="23"/>
  <c r="F87" i="23"/>
  <c r="F107" i="23"/>
  <c r="E107" i="23"/>
  <c r="F30" i="23"/>
  <c r="D31" i="23"/>
  <c r="D106" i="23"/>
  <c r="E30" i="23"/>
  <c r="F108" i="23"/>
  <c r="E108" i="23"/>
  <c r="D78" i="24"/>
  <c r="D82" i="24" s="1"/>
  <c r="D78" i="23"/>
  <c r="D51" i="23"/>
  <c r="F40" i="21"/>
  <c r="D107" i="21"/>
  <c r="E40" i="21"/>
  <c r="D78" i="21"/>
  <c r="D51" i="19"/>
  <c r="D51" i="21"/>
  <c r="D89" i="19"/>
  <c r="D92" i="17"/>
  <c r="F75" i="17"/>
  <c r="D74" i="19"/>
  <c r="E92" i="17"/>
  <c r="D97" i="19"/>
  <c r="F97" i="19" s="1"/>
  <c r="E51" i="19"/>
  <c r="F51" i="19"/>
  <c r="D77" i="19"/>
  <c r="D104" i="19"/>
  <c r="E40" i="19"/>
  <c r="F40" i="19"/>
  <c r="D41" i="19"/>
  <c r="D87" i="17"/>
  <c r="E87" i="17" s="1"/>
  <c r="D85" i="19"/>
  <c r="F89" i="19"/>
  <c r="E89" i="19"/>
  <c r="F92" i="17"/>
  <c r="Z41" i="3"/>
  <c r="D41" i="17"/>
  <c r="D78" i="17"/>
  <c r="F78" i="17" s="1"/>
  <c r="D51" i="17"/>
  <c r="F51" i="17" s="1"/>
  <c r="Z5" i="4"/>
  <c r="Z30" i="4" s="1"/>
  <c r="F102" i="17"/>
  <c r="E75" i="17"/>
  <c r="K32" i="4"/>
  <c r="Y32" i="4"/>
  <c r="AB41" i="3"/>
  <c r="S32" i="4"/>
  <c r="H5" i="4"/>
  <c r="U5" i="4"/>
  <c r="U30" i="4" s="1"/>
  <c r="AB5" i="4"/>
  <c r="AB30" i="4" s="1"/>
  <c r="V5" i="4"/>
  <c r="V32" i="4" s="1"/>
  <c r="L49" i="1"/>
  <c r="M38" i="3"/>
  <c r="M41" i="3" s="1"/>
  <c r="P32" i="4"/>
  <c r="D49" i="21" s="1"/>
  <c r="I30" i="4"/>
  <c r="I33" i="4" s="1"/>
  <c r="M42" i="3"/>
  <c r="V41" i="3"/>
  <c r="L5" i="3"/>
  <c r="L38" i="3" s="1"/>
  <c r="AF34" i="2"/>
  <c r="H42" i="3"/>
  <c r="G45" i="3" s="1"/>
  <c r="G46" i="3" s="1"/>
  <c r="H41" i="3"/>
  <c r="W33" i="4"/>
  <c r="J33" i="4"/>
  <c r="X33" i="4"/>
  <c r="R33" i="4"/>
  <c r="N33" i="4"/>
  <c r="O33" i="4"/>
  <c r="AA30" i="4"/>
  <c r="AA32" i="4"/>
  <c r="AD30" i="4"/>
  <c r="AD32" i="4"/>
  <c r="D94" i="24" s="1"/>
  <c r="F94" i="24" s="1"/>
  <c r="L44" i="2"/>
  <c r="G34" i="2"/>
  <c r="G5" i="3" s="1"/>
  <c r="G40" i="3" s="1"/>
  <c r="G5" i="4" s="1"/>
  <c r="M5" i="4"/>
  <c r="F106" i="23" l="1"/>
  <c r="E106" i="23"/>
  <c r="F105" i="23"/>
  <c r="E105" i="23"/>
  <c r="D48" i="23"/>
  <c r="D75" i="21"/>
  <c r="D108" i="24"/>
  <c r="E60" i="24"/>
  <c r="F60" i="24"/>
  <c r="E82" i="24"/>
  <c r="F82" i="24"/>
  <c r="D8" i="23"/>
  <c r="D8" i="21"/>
  <c r="F30" i="21"/>
  <c r="E30" i="21"/>
  <c r="F30" i="24"/>
  <c r="D106" i="24"/>
  <c r="E30" i="24"/>
  <c r="F51" i="23"/>
  <c r="E51" i="23"/>
  <c r="D109" i="23"/>
  <c r="D96" i="23"/>
  <c r="F51" i="24"/>
  <c r="E51" i="24"/>
  <c r="F40" i="24"/>
  <c r="D107" i="24"/>
  <c r="E40" i="24"/>
  <c r="F78" i="23"/>
  <c r="D102" i="23"/>
  <c r="F102" i="23" s="1"/>
  <c r="E78" i="23"/>
  <c r="F78" i="24"/>
  <c r="F102" i="24"/>
  <c r="E78" i="24"/>
  <c r="D91" i="19"/>
  <c r="F91" i="19" s="1"/>
  <c r="D94" i="21"/>
  <c r="F94" i="21" s="1"/>
  <c r="F107" i="21"/>
  <c r="F75" i="21"/>
  <c r="E75" i="21"/>
  <c r="E48" i="21"/>
  <c r="F48" i="21"/>
  <c r="F108" i="21" s="1"/>
  <c r="D61" i="19"/>
  <c r="D60" i="21"/>
  <c r="D61" i="21" s="1"/>
  <c r="Y33" i="4"/>
  <c r="D82" i="21"/>
  <c r="D83" i="21" s="1"/>
  <c r="F51" i="21"/>
  <c r="E51" i="21"/>
  <c r="F78" i="21"/>
  <c r="F102" i="21"/>
  <c r="E78" i="21"/>
  <c r="F87" i="17"/>
  <c r="D48" i="17"/>
  <c r="F48" i="17" s="1"/>
  <c r="D48" i="19"/>
  <c r="D81" i="19"/>
  <c r="F77" i="19"/>
  <c r="E77" i="19"/>
  <c r="D99" i="19"/>
  <c r="F99" i="19" s="1"/>
  <c r="F85" i="19"/>
  <c r="E85" i="19"/>
  <c r="F74" i="19"/>
  <c r="E74" i="19"/>
  <c r="D105" i="19"/>
  <c r="E61" i="19"/>
  <c r="F61" i="19"/>
  <c r="F104" i="19"/>
  <c r="E104" i="19"/>
  <c r="F8" i="17"/>
  <c r="D10" i="17"/>
  <c r="F40" i="17"/>
  <c r="D82" i="17"/>
  <c r="Z32" i="4"/>
  <c r="K33" i="4"/>
  <c r="F94" i="17"/>
  <c r="H32" i="4"/>
  <c r="H34" i="4" s="1"/>
  <c r="G37" i="4" s="1"/>
  <c r="D109" i="17"/>
  <c r="F109" i="17" s="1"/>
  <c r="E40" i="17"/>
  <c r="F90" i="17"/>
  <c r="E78" i="17"/>
  <c r="D104" i="17"/>
  <c r="F104" i="17" s="1"/>
  <c r="D60" i="17"/>
  <c r="F60" i="17" s="1"/>
  <c r="E51" i="17"/>
  <c r="H30" i="4"/>
  <c r="AB32" i="4"/>
  <c r="S33" i="4"/>
  <c r="U32" i="4"/>
  <c r="V30" i="4"/>
  <c r="V33" i="4" s="1"/>
  <c r="P33" i="4"/>
  <c r="L40" i="3"/>
  <c r="AD33" i="4"/>
  <c r="AA33" i="4"/>
  <c r="AF38" i="3"/>
  <c r="G38" i="3"/>
  <c r="M30" i="4"/>
  <c r="M32" i="4"/>
  <c r="D19" i="21" s="1"/>
  <c r="G47" i="3"/>
  <c r="G48" i="3" s="1"/>
  <c r="L50" i="3" s="1"/>
  <c r="D76" i="21" l="1"/>
  <c r="D63" i="24"/>
  <c r="D66" i="24" s="1"/>
  <c r="D63" i="23"/>
  <c r="D100" i="24"/>
  <c r="F100" i="24" s="1"/>
  <c r="D11" i="24"/>
  <c r="D100" i="23"/>
  <c r="F100" i="23" s="1"/>
  <c r="D11" i="23"/>
  <c r="F11" i="23" s="1"/>
  <c r="Z33" i="4"/>
  <c r="D87" i="21"/>
  <c r="F107" i="24"/>
  <c r="E107" i="24"/>
  <c r="F96" i="23"/>
  <c r="E96" i="23"/>
  <c r="F109" i="23"/>
  <c r="E109" i="23"/>
  <c r="D110" i="23"/>
  <c r="F106" i="24"/>
  <c r="E106" i="24"/>
  <c r="F8" i="21"/>
  <c r="D10" i="21"/>
  <c r="D116" i="21" s="1"/>
  <c r="F8" i="23"/>
  <c r="D10" i="23"/>
  <c r="F108" i="24"/>
  <c r="E108" i="24"/>
  <c r="F75" i="24"/>
  <c r="D76" i="24"/>
  <c r="E75" i="24"/>
  <c r="E48" i="23"/>
  <c r="F48" i="23"/>
  <c r="E48" i="24"/>
  <c r="F48" i="24"/>
  <c r="D92" i="21"/>
  <c r="D100" i="21"/>
  <c r="F100" i="21" s="1"/>
  <c r="D66" i="19"/>
  <c r="D66" i="21"/>
  <c r="D106" i="21" s="1"/>
  <c r="D63" i="21"/>
  <c r="D63" i="17"/>
  <c r="D11" i="17"/>
  <c r="D11" i="21"/>
  <c r="E82" i="21"/>
  <c r="F82" i="21"/>
  <c r="D109" i="21"/>
  <c r="E60" i="21"/>
  <c r="F60" i="21"/>
  <c r="E66" i="19"/>
  <c r="F66" i="19"/>
  <c r="E48" i="17"/>
  <c r="E81" i="19"/>
  <c r="F81" i="19"/>
  <c r="D106" i="19"/>
  <c r="D93" i="19"/>
  <c r="E105" i="19"/>
  <c r="F105" i="19"/>
  <c r="F48" i="19"/>
  <c r="E48" i="19"/>
  <c r="F82" i="17"/>
  <c r="E82" i="17"/>
  <c r="E5" i="17"/>
  <c r="H33" i="4"/>
  <c r="AB33" i="4"/>
  <c r="E109" i="17"/>
  <c r="D66" i="17"/>
  <c r="D111" i="17" s="1"/>
  <c r="E90" i="17"/>
  <c r="E60" i="17"/>
  <c r="D110" i="17"/>
  <c r="F110" i="17" s="1"/>
  <c r="AF40" i="3"/>
  <c r="N42" i="3"/>
  <c r="L5" i="4"/>
  <c r="L41" i="3"/>
  <c r="AF41" i="3" s="1"/>
  <c r="M34" i="4"/>
  <c r="M33" i="4"/>
  <c r="G41" i="3"/>
  <c r="G30" i="4"/>
  <c r="G32" i="4"/>
  <c r="G15" i="5"/>
  <c r="G16" i="5" s="1"/>
  <c r="G38" i="4"/>
  <c r="E106" i="21" l="1"/>
  <c r="D110" i="21"/>
  <c r="D98" i="23"/>
  <c r="F98" i="23" s="1"/>
  <c r="D12" i="23"/>
  <c r="E10" i="23"/>
  <c r="F10" i="23"/>
  <c r="E10" i="21"/>
  <c r="F10" i="21"/>
  <c r="E110" i="23"/>
  <c r="F110" i="23"/>
  <c r="E87" i="21"/>
  <c r="F87" i="21"/>
  <c r="E87" i="24"/>
  <c r="F87" i="24"/>
  <c r="D109" i="24"/>
  <c r="D96" i="24"/>
  <c r="E92" i="24"/>
  <c r="F92" i="24"/>
  <c r="F11" i="24"/>
  <c r="D12" i="24"/>
  <c r="F63" i="23"/>
  <c r="E63" i="23"/>
  <c r="F63" i="24"/>
  <c r="E63" i="24"/>
  <c r="E66" i="24"/>
  <c r="F66" i="24"/>
  <c r="E92" i="21"/>
  <c r="F92" i="21"/>
  <c r="F109" i="21"/>
  <c r="E109" i="21"/>
  <c r="F11" i="21"/>
  <c r="D12" i="21"/>
  <c r="F63" i="17"/>
  <c r="E63" i="17"/>
  <c r="F63" i="21"/>
  <c r="E63" i="21"/>
  <c r="E66" i="21"/>
  <c r="F66" i="21"/>
  <c r="F106" i="21" s="1"/>
  <c r="D96" i="21"/>
  <c r="D117" i="21" s="1"/>
  <c r="D118" i="21" s="1"/>
  <c r="D120" i="21" s="1"/>
  <c r="D95" i="19"/>
  <c r="F95" i="19" s="1"/>
  <c r="E93" i="19"/>
  <c r="F93" i="19"/>
  <c r="F106" i="19"/>
  <c r="E106" i="19"/>
  <c r="D107" i="19"/>
  <c r="F66" i="17"/>
  <c r="F111" i="17"/>
  <c r="F5" i="17"/>
  <c r="E110" i="17"/>
  <c r="E66" i="17"/>
  <c r="D96" i="17"/>
  <c r="E111" i="17"/>
  <c r="L30" i="4"/>
  <c r="AF30" i="4" s="1"/>
  <c r="L32" i="4"/>
  <c r="O34" i="4" s="1"/>
  <c r="G33" i="4"/>
  <c r="G39" i="4"/>
  <c r="G40" i="4" s="1"/>
  <c r="L42" i="4" s="1"/>
  <c r="G17" i="5"/>
  <c r="G18" i="5" s="1"/>
  <c r="G24" i="5" s="1"/>
  <c r="F110" i="21" l="1"/>
  <c r="E110" i="21"/>
  <c r="D111" i="21"/>
  <c r="F111" i="21" s="1"/>
  <c r="D98" i="24"/>
  <c r="F98" i="24" s="1"/>
  <c r="F96" i="24"/>
  <c r="E96" i="24"/>
  <c r="F109" i="24"/>
  <c r="E109" i="24"/>
  <c r="D110" i="24"/>
  <c r="D98" i="21"/>
  <c r="F98" i="21" s="1"/>
  <c r="F96" i="21"/>
  <c r="E96" i="21"/>
  <c r="E107" i="19"/>
  <c r="F107" i="19"/>
  <c r="F96" i="17"/>
  <c r="F10" i="17"/>
  <c r="E10" i="17"/>
  <c r="D112" i="17"/>
  <c r="F112" i="17" s="1"/>
  <c r="E96" i="17"/>
  <c r="D98" i="17"/>
  <c r="F98" i="17" s="1"/>
  <c r="L33" i="4"/>
  <c r="AF32" i="4"/>
  <c r="E110" i="24" l="1"/>
  <c r="F110" i="24"/>
  <c r="E111" i="21"/>
  <c r="D12" i="17"/>
  <c r="F11" i="17"/>
  <c r="E112" i="17"/>
</calcChain>
</file>

<file path=xl/sharedStrings.xml><?xml version="1.0" encoding="utf-8"?>
<sst xmlns="http://schemas.openxmlformats.org/spreadsheetml/2006/main" count="1200" uniqueCount="438">
  <si>
    <t>Horton PC payments 2024-2025</t>
  </si>
  <si>
    <t>Receipts</t>
  </si>
  <si>
    <t>Payments</t>
  </si>
  <si>
    <t>Regular</t>
  </si>
  <si>
    <t>Annual</t>
  </si>
  <si>
    <t>Occasional</t>
  </si>
  <si>
    <t>Date</t>
  </si>
  <si>
    <t>ITEM / DESCRIPTION</t>
  </si>
  <si>
    <t>Invoice</t>
  </si>
  <si>
    <t>Chq / online ref</t>
  </si>
  <si>
    <t>Value</t>
  </si>
  <si>
    <t>Paid</t>
  </si>
  <si>
    <t>Unity Bank</t>
  </si>
  <si>
    <t>Precept</t>
  </si>
  <si>
    <t>Support grant</t>
  </si>
  <si>
    <t>Other</t>
  </si>
  <si>
    <t>VAT reclaim</t>
  </si>
  <si>
    <t>Unity A/c</t>
  </si>
  <si>
    <t>CLERK</t>
  </si>
  <si>
    <t>ADMIN</t>
  </si>
  <si>
    <t>GREENS</t>
  </si>
  <si>
    <t>MAINTENANCE</t>
  </si>
  <si>
    <t>BANK</t>
  </si>
  <si>
    <t>AUDIT</t>
  </si>
  <si>
    <t>INSURANCE</t>
  </si>
  <si>
    <t>SUBSCRIPTIONS</t>
  </si>
  <si>
    <t>IT</t>
  </si>
  <si>
    <t>EVENTS</t>
  </si>
  <si>
    <t>RBWM</t>
  </si>
  <si>
    <t>CONSULTANCY</t>
  </si>
  <si>
    <t>TRAINING</t>
  </si>
  <si>
    <t>PROJECTS</t>
  </si>
  <si>
    <t>OTHER</t>
  </si>
  <si>
    <t>ONE OFF</t>
  </si>
  <si>
    <t>Sec. 137</t>
  </si>
  <si>
    <t>VAT</t>
  </si>
  <si>
    <t>VAT Number</t>
  </si>
  <si>
    <t>Opening balances (cashbook balance)</t>
  </si>
  <si>
    <t>J Kennedy</t>
  </si>
  <si>
    <t>Month 1</t>
  </si>
  <si>
    <t xml:space="preserve">HMRC </t>
  </si>
  <si>
    <t xml:space="preserve">Berkshire Pension </t>
  </si>
  <si>
    <t>Garden Designs</t>
  </si>
  <si>
    <t>8027</t>
  </si>
  <si>
    <t>GB720658638</t>
  </si>
  <si>
    <t>8071</t>
  </si>
  <si>
    <t>My Controller</t>
  </si>
  <si>
    <t>SI-20302</t>
  </si>
  <si>
    <t>GB824115754</t>
  </si>
  <si>
    <t>BALC including NALC</t>
  </si>
  <si>
    <t>INV-0490</t>
  </si>
  <si>
    <t>St Michaels PCC</t>
  </si>
  <si>
    <t xml:space="preserve">Horton PCC </t>
  </si>
  <si>
    <t>Horton PCC</t>
  </si>
  <si>
    <t>Allen Electrical</t>
  </si>
  <si>
    <t>152771</t>
  </si>
  <si>
    <t>GB284824856</t>
  </si>
  <si>
    <t>8089</t>
  </si>
  <si>
    <t>8105</t>
  </si>
  <si>
    <t>SLCC</t>
  </si>
  <si>
    <t>MEM248977-1</t>
  </si>
  <si>
    <t>Window Flowers</t>
  </si>
  <si>
    <t>61787</t>
  </si>
  <si>
    <t>GB537879289</t>
  </si>
  <si>
    <t>ROSPA</t>
  </si>
  <si>
    <t>78668</t>
  </si>
  <si>
    <t>GB876328389</t>
  </si>
  <si>
    <t>Old Windsor Parish Council</t>
  </si>
  <si>
    <t>OWPC 004</t>
  </si>
  <si>
    <t>Auditing Solutions</t>
  </si>
  <si>
    <t>A8454</t>
  </si>
  <si>
    <t>GB847079201</t>
  </si>
  <si>
    <t>Month 2</t>
  </si>
  <si>
    <t xml:space="preserve">Datchet Parish Council </t>
  </si>
  <si>
    <t>NAG04</t>
  </si>
  <si>
    <t>NAG004</t>
  </si>
  <si>
    <t>Zurich Insurance</t>
  </si>
  <si>
    <t>531963848</t>
  </si>
  <si>
    <t>Month 3</t>
  </si>
  <si>
    <t>8152</t>
  </si>
  <si>
    <t>8161</t>
  </si>
  <si>
    <t>8211</t>
  </si>
  <si>
    <t>JRB Enterprises</t>
  </si>
  <si>
    <t>26995</t>
  </si>
  <si>
    <t>GB757996451</t>
  </si>
  <si>
    <t>ICO</t>
  </si>
  <si>
    <t>2024</t>
  </si>
  <si>
    <t>DD2024</t>
  </si>
  <si>
    <t>Bank Charges</t>
  </si>
  <si>
    <t>Q1</t>
  </si>
  <si>
    <t>Bank</t>
  </si>
  <si>
    <t>Totals April to June</t>
  </si>
  <si>
    <t>April to June payments</t>
  </si>
  <si>
    <t xml:space="preserve">Cash Book Balance </t>
  </si>
  <si>
    <t>c/f</t>
  </si>
  <si>
    <t>Total receipts exc precept</t>
  </si>
  <si>
    <t>Total Admin payments</t>
  </si>
  <si>
    <t>Opening balance 1/4/24</t>
  </si>
  <si>
    <t>a/c balance 30.06.2024</t>
  </si>
  <si>
    <t>Plus running receipts in year to 30.6.24</t>
  </si>
  <si>
    <t>Plus o/s deposits</t>
  </si>
  <si>
    <t>Plus precept</t>
  </si>
  <si>
    <t>Less uncleared items</t>
  </si>
  <si>
    <t>CQ not presented to Macmillan</t>
  </si>
  <si>
    <t>Less running payments in year to 30.6.24</t>
  </si>
  <si>
    <t>Less staff costs</t>
  </si>
  <si>
    <t>Combined cashbook balance 30.6.24</t>
  </si>
  <si>
    <t>If not 0.00 needs investigation</t>
  </si>
  <si>
    <t>CHECK FORMULAE IN THIS SECTION</t>
  </si>
  <si>
    <t>Horton PC payments 2024-2025 July - September</t>
  </si>
  <si>
    <t>Opening balances</t>
  </si>
  <si>
    <t>HMRC VTR</t>
  </si>
  <si>
    <t>XSV126000102657</t>
  </si>
  <si>
    <t xml:space="preserve">Wraysbury Parish Council </t>
  </si>
  <si>
    <t>WPC NAG 04</t>
  </si>
  <si>
    <t>NAG 05</t>
  </si>
  <si>
    <t>Month 4</t>
  </si>
  <si>
    <t>Vision ICT Ltd</t>
  </si>
  <si>
    <t>GB785375777</t>
  </si>
  <si>
    <t>Viking Direct</t>
  </si>
  <si>
    <t>GB536153357</t>
  </si>
  <si>
    <t>Month5</t>
  </si>
  <si>
    <t>RBWM Library Services</t>
  </si>
  <si>
    <t>IN3241366</t>
  </si>
  <si>
    <t>St Michaels Church Roof Donation</t>
  </si>
  <si>
    <t>160424#05F</t>
  </si>
  <si>
    <t>PKF Littlejohn</t>
  </si>
  <si>
    <t>SB20240965</t>
  </si>
  <si>
    <t>GB440498250</t>
  </si>
  <si>
    <t>RBWM Supplier</t>
  </si>
  <si>
    <t>Month 6</t>
  </si>
  <si>
    <t>Champney Hall</t>
  </si>
  <si>
    <t>Bank Charge</t>
  </si>
  <si>
    <t>Charge</t>
  </si>
  <si>
    <t>July to September payments</t>
  </si>
  <si>
    <t>Total receipts</t>
  </si>
  <si>
    <t>Current a/c balance 30/09/2024</t>
  </si>
  <si>
    <t>Plus: Receipts in year to 30.09.24</t>
  </si>
  <si>
    <t xml:space="preserve">Plus o/s </t>
  </si>
  <si>
    <t>Less: Admin Payments in year to 30.9.24</t>
  </si>
  <si>
    <t>Cheque for MacMillan.</t>
  </si>
  <si>
    <t>Agrees cashbook balance 30.9.24</t>
  </si>
  <si>
    <t>Combined cashbook balance 30.9.24</t>
  </si>
  <si>
    <t>Difference =</t>
  </si>
  <si>
    <t>ITEM / DESCRIPTION / PAYEE</t>
  </si>
  <si>
    <t>Invoice no.</t>
  </si>
  <si>
    <t>Online ref code</t>
  </si>
  <si>
    <t>RBWM Precept</t>
  </si>
  <si>
    <t>Month 7</t>
  </si>
  <si>
    <t>Poppy Appeal RBL</t>
  </si>
  <si>
    <t>RBL2024WR</t>
  </si>
  <si>
    <t>Service Charge</t>
  </si>
  <si>
    <t>Month 8</t>
  </si>
  <si>
    <t>RBL2024LPP</t>
  </si>
  <si>
    <t>Q2 24/25</t>
  </si>
  <si>
    <t>Library</t>
  </si>
  <si>
    <t>ARD Playgrounds</t>
  </si>
  <si>
    <t>GB770036157</t>
  </si>
  <si>
    <t>Month 9</t>
  </si>
  <si>
    <t>Wycombe Wanderers FC Ltd</t>
  </si>
  <si>
    <t>GB442497535</t>
  </si>
  <si>
    <t>Windowflowers</t>
  </si>
  <si>
    <t>Expenses Dec</t>
  </si>
  <si>
    <t>JRB</t>
  </si>
  <si>
    <t>Wellbeing People</t>
  </si>
  <si>
    <t>Totals April to December</t>
  </si>
  <si>
    <t>October to December payments</t>
  </si>
  <si>
    <t>Total payments</t>
  </si>
  <si>
    <t>Current Balance at 17/12/2024</t>
  </si>
  <si>
    <t xml:space="preserve">Payments not approved until January. </t>
  </si>
  <si>
    <t>Plus: Receipts in year to 31.12.24</t>
  </si>
  <si>
    <t>Less: Payments in year to 31.12.24</t>
  </si>
  <si>
    <t>£50 relates to uncashed cheque 300657 from December 24.</t>
  </si>
  <si>
    <t>Combined cashbook balance 31.12.24</t>
  </si>
  <si>
    <t>Agrees cashbook balance 31.12.21</t>
  </si>
  <si>
    <t>Datchet Parish Council</t>
  </si>
  <si>
    <t>NAG06</t>
  </si>
  <si>
    <t>DPC NAG</t>
  </si>
  <si>
    <t>Month 10</t>
  </si>
  <si>
    <t xml:space="preserve">Colne Valley Trust </t>
  </si>
  <si>
    <t>CVT199</t>
  </si>
  <si>
    <t>GB389770529</t>
  </si>
  <si>
    <t>Jan 25</t>
  </si>
  <si>
    <t xml:space="preserve">Bank </t>
  </si>
  <si>
    <t>Month 11</t>
  </si>
  <si>
    <t>Cllr Cole - Flag Reimbursement</t>
  </si>
  <si>
    <t>Inv 104032</t>
  </si>
  <si>
    <t>GB870897375</t>
  </si>
  <si>
    <t>Feb 25</t>
  </si>
  <si>
    <t>Month 12</t>
  </si>
  <si>
    <t>VisionICT</t>
  </si>
  <si>
    <t>Cllr Cole - Training Reimbursement</t>
  </si>
  <si>
    <t xml:space="preserve">GB233410214
</t>
  </si>
  <si>
    <t xml:space="preserve">RBWM Supplier </t>
  </si>
  <si>
    <t>Precept 1 2025/26</t>
  </si>
  <si>
    <t>Write Back CQ 300657</t>
  </si>
  <si>
    <t>CQ300657</t>
  </si>
  <si>
    <t>Write back cq</t>
  </si>
  <si>
    <t>Totals April to March (12 mths)</t>
  </si>
  <si>
    <t>January to March payments</t>
  </si>
  <si>
    <t>Cash Book Balance</t>
  </si>
  <si>
    <t>=</t>
  </si>
  <si>
    <t>Current a/c balance</t>
  </si>
  <si>
    <t>Plus: Receipts in year to 31.03.2025</t>
  </si>
  <si>
    <t>Less: Payments in year to 31.3.25</t>
  </si>
  <si>
    <t>Combined cashbook balance 31.3.25</t>
  </si>
  <si>
    <t>Agrees cashbook balance 31.3.25</t>
  </si>
  <si>
    <t>Horton Parish Council</t>
  </si>
  <si>
    <t>Bank reconciliation as at 31st March 2025</t>
  </si>
  <si>
    <t>Current a/c bank balance 31 March 25</t>
  </si>
  <si>
    <t>as per bank statement</t>
  </si>
  <si>
    <t xml:space="preserve">Plus: o/s </t>
  </si>
  <si>
    <t xml:space="preserve">chq </t>
  </si>
  <si>
    <t>Agrees cashbook balance 31 March 25</t>
  </si>
  <si>
    <t>L44</t>
  </si>
  <si>
    <t>Cash Book</t>
  </si>
  <si>
    <t>Combined opening balance 1 April 24</t>
  </si>
  <si>
    <t>Plus receipts in year</t>
  </si>
  <si>
    <t>Less payments in year</t>
  </si>
  <si>
    <t>Combined cashbook balance 31st March 25</t>
  </si>
  <si>
    <t xml:space="preserve">Difference is: </t>
  </si>
  <si>
    <t>Check</t>
  </si>
  <si>
    <t>Horton Parish Council Budget</t>
  </si>
  <si>
    <t>Budget for 24/25</t>
  </si>
  <si>
    <t>31st March 2025</t>
  </si>
  <si>
    <t>YTD %</t>
  </si>
  <si>
    <t>Full Year Under/(Over) spend</t>
  </si>
  <si>
    <t>Income</t>
  </si>
  <si>
    <t>Precept received March 2024 so not in the current year cashbook</t>
  </si>
  <si>
    <t>SLA Grant for Greens</t>
  </si>
  <si>
    <t>Received late July last year</t>
  </si>
  <si>
    <t>PCC Recharge</t>
  </si>
  <si>
    <t>NAG recharge 3 per year</t>
  </si>
  <si>
    <t>Total Income</t>
  </si>
  <si>
    <t xml:space="preserve">Reduction in reserves </t>
  </si>
  <si>
    <t>Nothing taken from reserves yet</t>
  </si>
  <si>
    <t>Total Funding</t>
  </si>
  <si>
    <t>Personnel Costs</t>
  </si>
  <si>
    <t>Clerk salary</t>
  </si>
  <si>
    <t>HMRC</t>
  </si>
  <si>
    <t>Pension</t>
  </si>
  <si>
    <t>Total Personnel Costs</t>
  </si>
  <si>
    <t>25% through the year</t>
  </si>
  <si>
    <t>Admin Costs</t>
  </si>
  <si>
    <t>Office Cost</t>
  </si>
  <si>
    <t>Payroll Cost - My Controller</t>
  </si>
  <si>
    <t xml:space="preserve">No further charge expected. </t>
  </si>
  <si>
    <t>Champney Hall Hire cost</t>
  </si>
  <si>
    <t>Champney Hall to invoice</t>
  </si>
  <si>
    <t>Telephone</t>
  </si>
  <si>
    <t>Stationery</t>
  </si>
  <si>
    <t>Ink</t>
  </si>
  <si>
    <t>NAG Costs</t>
  </si>
  <si>
    <t>Thank you gifts</t>
  </si>
  <si>
    <t>Election Costs</t>
  </si>
  <si>
    <t>Total Admin Costs</t>
  </si>
  <si>
    <t>Greens</t>
  </si>
  <si>
    <t>Grass cutting and strimming of rural verges</t>
  </si>
  <si>
    <t xml:space="preserve">Mowing and strimming </t>
  </si>
  <si>
    <t>Weed Killing</t>
  </si>
  <si>
    <t>Cutback overgrown vegetation</t>
  </si>
  <si>
    <t>Plant and Maintain</t>
  </si>
  <si>
    <t>Hanging baskets</t>
  </si>
  <si>
    <t>Adhoc Greens Maintenance</t>
  </si>
  <si>
    <t>`</t>
  </si>
  <si>
    <t>Total Greens</t>
  </si>
  <si>
    <t>The Greens charges more in the summer compared to the winter</t>
  </si>
  <si>
    <t>Maintenance</t>
  </si>
  <si>
    <t>Playpark Maintenance cost</t>
  </si>
  <si>
    <t>Salt Bins</t>
  </si>
  <si>
    <t>Church clock</t>
  </si>
  <si>
    <t>Other Maintenace</t>
  </si>
  <si>
    <t>Total Maintenance Costs</t>
  </si>
  <si>
    <t>Playpark Maintenance planned</t>
  </si>
  <si>
    <t>Audit Costs</t>
  </si>
  <si>
    <t>PKF Still to go.</t>
  </si>
  <si>
    <t>Insurance and subscription Costs</t>
  </si>
  <si>
    <t>Council Insurance</t>
  </si>
  <si>
    <t>Under budgeted for Insurance</t>
  </si>
  <si>
    <t>Aircraft Noise Council</t>
  </si>
  <si>
    <t>Colne Valley Regional Park</t>
  </si>
  <si>
    <t>Invoice still to be received</t>
  </si>
  <si>
    <t>NALC</t>
  </si>
  <si>
    <t xml:space="preserve">BALC </t>
  </si>
  <si>
    <t>Total Insurance and subscription related costs</t>
  </si>
  <si>
    <t>IT costs</t>
  </si>
  <si>
    <t>Website and emails</t>
  </si>
  <si>
    <t>Total Webcosts</t>
  </si>
  <si>
    <t>Event Costs</t>
  </si>
  <si>
    <t>Remembrance Marshalls</t>
  </si>
  <si>
    <t>Poppy Wreaths</t>
  </si>
  <si>
    <t>Extra Lamp post poppies</t>
  </si>
  <si>
    <t xml:space="preserve">Memorial Green tidy up </t>
  </si>
  <si>
    <t>Christmas Tree</t>
  </si>
  <si>
    <t>Total Event Costs</t>
  </si>
  <si>
    <t>Spend will be incurred November/December</t>
  </si>
  <si>
    <t>RBWM and consultancy and training  services</t>
  </si>
  <si>
    <t>Library Service</t>
  </si>
  <si>
    <t>Invoice usually received July/August</t>
  </si>
  <si>
    <t>Staff Training</t>
  </si>
  <si>
    <t>Councillor training</t>
  </si>
  <si>
    <t>Other non RBWM Consultancy services</t>
  </si>
  <si>
    <t>Projects</t>
  </si>
  <si>
    <t>Grant awards</t>
  </si>
  <si>
    <t>Grants yet to be advertised and awarded</t>
  </si>
  <si>
    <t>Other expenditure</t>
  </si>
  <si>
    <t>Dog Poo Bags</t>
  </si>
  <si>
    <t>VAT to be reclaimed during the year</t>
  </si>
  <si>
    <t>Total Expenditure</t>
  </si>
  <si>
    <t>Increase in Reserves</t>
  </si>
  <si>
    <t>One-off</t>
  </si>
  <si>
    <t>S137</t>
  </si>
  <si>
    <t>Cost</t>
  </si>
  <si>
    <t>Total</t>
  </si>
  <si>
    <t xml:space="preserve">Other </t>
  </si>
  <si>
    <t>Precept calculated</t>
  </si>
  <si>
    <t>A</t>
  </si>
  <si>
    <t>B</t>
  </si>
  <si>
    <t>C</t>
  </si>
  <si>
    <t>St Michaels Donation</t>
  </si>
  <si>
    <t>No further cost</t>
  </si>
  <si>
    <t>Nothing further to pay</t>
  </si>
  <si>
    <t>Could be redirected to play park maintenance?</t>
  </si>
  <si>
    <t>Playground Maintenance started but not yet Invoiced</t>
  </si>
  <si>
    <t>Uplighter Maintenance</t>
  </si>
  <si>
    <t>Not yet requested for 24/25</t>
  </si>
  <si>
    <t>Closed two unused emails this year</t>
  </si>
  <si>
    <t>Zoom</t>
  </si>
  <si>
    <t>Donation to St Michaels Roof</t>
  </si>
  <si>
    <t>31st December 2024</t>
  </si>
  <si>
    <t>Adhoc cutback of Cherry Trees</t>
  </si>
  <si>
    <t>Not yet requested for this year</t>
  </si>
  <si>
    <t xml:space="preserve">Precept received March 2024 so not in the current year cashbook, 25/26 precept received 31st March 2025. </t>
  </si>
  <si>
    <t>VE Day flag and write back of CQ300657</t>
  </si>
  <si>
    <t>Wellbeing People - Health Hub Machine Grant</t>
  </si>
  <si>
    <t>Pollution Tubes</t>
  </si>
  <si>
    <t>Ordered 2nd April 2025</t>
  </si>
  <si>
    <t>Increase/Decrease in Reserves</t>
  </si>
  <si>
    <t>Total Maintenance</t>
  </si>
  <si>
    <t>Reserves Opening Balance</t>
  </si>
  <si>
    <t>Adjustment for early receipt of precept</t>
  </si>
  <si>
    <t>Adjusted Reserves</t>
  </si>
  <si>
    <t>24/25 Income</t>
  </si>
  <si>
    <t>24/25 Expenditure</t>
  </si>
  <si>
    <t>Total Reserves</t>
  </si>
  <si>
    <t>CIL ringfenced</t>
  </si>
  <si>
    <t>Total General Reserve</t>
  </si>
  <si>
    <t>Horton Parish Council Budget 2024-2025</t>
  </si>
  <si>
    <t>Income / Receipts</t>
  </si>
  <si>
    <t>2021-2022</t>
  </si>
  <si>
    <t>2022-2023</t>
  </si>
  <si>
    <t>2023-2024</t>
  </si>
  <si>
    <t>2023-2024 year</t>
  </si>
  <si>
    <t>Difference</t>
  </si>
  <si>
    <t>2024-2025</t>
  </si>
  <si>
    <t>% change</t>
  </si>
  <si>
    <t>Comments/ explanations</t>
  </si>
  <si>
    <t>Actual</t>
  </si>
  <si>
    <t>Budget</t>
  </si>
  <si>
    <t>To date 12/23</t>
  </si>
  <si>
    <t>Year end</t>
  </si>
  <si>
    <t xml:space="preserve">Suggested </t>
  </si>
  <si>
    <t>anticipated</t>
  </si>
  <si>
    <t>SLA Grass Cutting</t>
  </si>
  <si>
    <t>Paid by RBWM</t>
  </si>
  <si>
    <t xml:space="preserve">For cutting of the Churchyard being included in the Parish Greens contract. The Church pays a contribution towards it. </t>
  </si>
  <si>
    <t>NAG Recharge</t>
  </si>
  <si>
    <t>Transfer from Reserves</t>
  </si>
  <si>
    <t>Total Agreed Funding</t>
  </si>
  <si>
    <t>Expenditure/</t>
  </si>
  <si>
    <t>Salaries</t>
  </si>
  <si>
    <t>Clerk passed CILCA and completed two years in post which resulted in incremental increases on the Pay Scale.</t>
  </si>
  <si>
    <t>Administration</t>
  </si>
  <si>
    <t>Based on Garden Designs quote and schedule of works, 5% increase in Hanging basket costs and £2,400 contigency cost for adhoc work</t>
  </si>
  <si>
    <t xml:space="preserve">Church Clock £440 in reserves and a further £220 budgeted this year. Remainder maintenance for Play park (£805) and parish salt bins (£35). </t>
  </si>
  <si>
    <t>Audit</t>
  </si>
  <si>
    <t>Insurance</t>
  </si>
  <si>
    <t>Subscriptions</t>
  </si>
  <si>
    <t xml:space="preserve">                                                </t>
  </si>
  <si>
    <t>Events</t>
  </si>
  <si>
    <t>Increase in Christmas Tree Cost (£1,207), Remembrance (£580), Other (£500)</t>
  </si>
  <si>
    <t xml:space="preserve">Consultancy </t>
  </si>
  <si>
    <t xml:space="preserve">Training </t>
  </si>
  <si>
    <t>Clerk is looking into training in collaboration with Datchet and Wraysbury Parish Councils.</t>
  </si>
  <si>
    <t xml:space="preserve">Have taken out the pollution tubes. Budgeted up to the end of 2024 if the council wishes to continue but I have put in £1,000 for grants </t>
  </si>
  <si>
    <t>Included budget for 4 orders of dog poo bags.</t>
  </si>
  <si>
    <t>Change in Reserves</t>
  </si>
  <si>
    <t>This line shows any addition to or funding from Reserves</t>
  </si>
  <si>
    <t>Reserves</t>
  </si>
  <si>
    <t>Opening Reserves</t>
  </si>
  <si>
    <t xml:space="preserve">Income </t>
  </si>
  <si>
    <t>Expenditure</t>
  </si>
  <si>
    <t>Closing Reserves</t>
  </si>
  <si>
    <t xml:space="preserve">The reduction in Reserves taking them down to £37k still leaves 8-9 months of spend which is  comfortably within the 3-12 months revenue spending limits. </t>
  </si>
  <si>
    <t>Precept Charge</t>
  </si>
  <si>
    <t>S137 Spend extracted from above</t>
  </si>
  <si>
    <t>Remembrance Event</t>
  </si>
  <si>
    <t>Marshalls/tidy up</t>
  </si>
  <si>
    <t>S138B LGA 1973</t>
  </si>
  <si>
    <t>Christmas</t>
  </si>
  <si>
    <t>Tree and lights/toppers</t>
  </si>
  <si>
    <t>Tourism</t>
  </si>
  <si>
    <t>Contract started July 2022</t>
  </si>
  <si>
    <t>under section 19 of the Local Government (Miscellaneous Provisions) Act 1976,</t>
  </si>
  <si>
    <t>Royal British Legion</t>
  </si>
  <si>
    <t>Poppies and Wreaths</t>
  </si>
  <si>
    <t>Other Events</t>
  </si>
  <si>
    <t>Other event</t>
  </si>
  <si>
    <t>Hanging Baskets</t>
  </si>
  <si>
    <t>Twice yearly baskets</t>
  </si>
  <si>
    <t>Donations</t>
  </si>
  <si>
    <t>Thank you for help donation to MacMillan</t>
  </si>
  <si>
    <t>Platinum jubilee</t>
  </si>
  <si>
    <t>Flag</t>
  </si>
  <si>
    <t>Kings Coronation</t>
  </si>
  <si>
    <t>No Coronation Planned for 2024/25</t>
  </si>
  <si>
    <t>New Noticeboard</t>
  </si>
  <si>
    <t>Fully funded by Cappagh</t>
  </si>
  <si>
    <t>Maintaining Churchyard</t>
  </si>
  <si>
    <t>LGA 1972 S214 (6), (8)</t>
  </si>
  <si>
    <t>Charities Act 2011, section 297</t>
  </si>
  <si>
    <t xml:space="preserve">Grant spending </t>
  </si>
  <si>
    <t>Total S137 spend</t>
  </si>
  <si>
    <t>Electorate</t>
  </si>
  <si>
    <t>Amount per head</t>
  </si>
  <si>
    <t>Based on 23/24 limit - 08/01/2024 updated to reflect 24/25 figures</t>
  </si>
  <si>
    <t>S137 Limit</t>
  </si>
  <si>
    <t>Precept for 2023/24</t>
  </si>
  <si>
    <t>£</t>
  </si>
  <si>
    <t>Tax Base (Band D equivalent properties)</t>
  </si>
  <si>
    <t>Precept per band D property</t>
  </si>
  <si>
    <t>(A Divided by B)</t>
  </si>
  <si>
    <t>SLA Greens</t>
  </si>
  <si>
    <t>Total Personnel</t>
  </si>
  <si>
    <t>Total Admin</t>
  </si>
  <si>
    <t>Total Insurance and subscription</t>
  </si>
  <si>
    <t>Total Budget</t>
  </si>
  <si>
    <t>Expected 31st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</si>
</sst>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[$£-809]#,##0"/>
    <numFmt numFmtId="167" formatCode="[$£-809]#,##0.00"/>
    <numFmt numFmtId="168" formatCode="_-[$£-809]* #,##0.00_-;\-[$£-809]* #,##0.00_-;_-[$£-809]* &quot;-&quot;??_-;_-@_-"/>
    <numFmt numFmtId="169" formatCode="_-[$£-809]* #,##0_-;\-[$£-809]* #,##0_-;_-[$£-809]* &quot;-&quot;??_-;_-@_-"/>
    <numFmt numFmtId="170" formatCode="_-* #,##0_-;\-* #,##0_-;_-* &quot;-&quot;??_-;_-@_-"/>
    <numFmt numFmtId="171" formatCode="_-&quot;£&quot;* #,##0_-;\-&quot;£&quot;* #,##0_-;_-&quot;£&quot;* &quot;-&quot;??_-;_-@_-"/>
    <numFmt numFmtId="172" formatCode="[$£-809]#,##0.0"/>
    <numFmt numFmtId="173" formatCode="0.000000000000"/>
  </numFmts>
  <fonts count="3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rgb="FF80008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1"/>
      <color rgb="FFFF0000"/>
      <name val="Arial"/>
      <family val="2"/>
    </font>
    <font>
      <sz val="11"/>
      <name val="Calibri"/>
      <family val="2"/>
      <charset val="1"/>
    </font>
    <font>
      <sz val="11"/>
      <color rgb="FFFF0000"/>
      <name val="Arial"/>
      <family val="2"/>
      <charset val="1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13"/>
      </patternFill>
    </fill>
    <fill>
      <patternFill patternType="solid">
        <fgColor rgb="FFD7E4BD"/>
        <bgColor rgb="FFD9D9D9"/>
      </patternFill>
    </fill>
    <fill>
      <patternFill patternType="solid">
        <fgColor rgb="FFFFFF99"/>
        <bgColor rgb="FFD7E4BD"/>
      </patternFill>
    </fill>
    <fill>
      <patternFill patternType="solid">
        <fgColor rgb="FFFFFF13"/>
        <bgColor rgb="FFFFFF00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E6B9B8"/>
        <bgColor rgb="FFFFC7CE"/>
      </patternFill>
    </fill>
    <fill>
      <patternFill patternType="solid">
        <fgColor rgb="FFCCFFFF"/>
        <bgColor rgb="FFC6EFCE"/>
      </patternFill>
    </fill>
    <fill>
      <patternFill patternType="solid">
        <fgColor rgb="FFF79646"/>
        <bgColor rgb="FFFF8080"/>
      </patternFill>
    </fill>
    <fill>
      <patternFill patternType="solid">
        <fgColor theme="0"/>
        <bgColor rgb="FF993366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rgb="FFD9D9D9"/>
      </patternFill>
    </fill>
    <fill>
      <patternFill patternType="solid">
        <fgColor theme="3" tint="0.79998168889431442"/>
        <bgColor rgb="FFD9D9D9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C6EFCE"/>
      </patternFill>
    </fill>
    <fill>
      <patternFill patternType="solid">
        <fgColor rgb="FF00B0F0"/>
        <bgColor rgb="FF00B0F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ck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9" fontId="11" fillId="0" borderId="0" applyBorder="0" applyProtection="0"/>
    <xf numFmtId="0" fontId="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27">
    <xf numFmtId="0" fontId="0" fillId="0" borderId="0" xfId="0"/>
    <xf numFmtId="1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" fontId="5" fillId="0" borderId="1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2" fontId="5" fillId="0" borderId="13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2" fontId="5" fillId="0" borderId="17" xfId="0" applyNumberFormat="1" applyFont="1" applyBorder="1" applyAlignment="1">
      <alignment vertical="center"/>
    </xf>
    <xf numFmtId="16" fontId="1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vertical="center"/>
    </xf>
    <xf numFmtId="1" fontId="7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vertical="center"/>
    </xf>
    <xf numFmtId="2" fontId="1" fillId="0" borderId="27" xfId="0" applyNumberFormat="1" applyFont="1" applyBorder="1" applyAlignment="1">
      <alignment vertical="center"/>
    </xf>
    <xf numFmtId="2" fontId="1" fillId="0" borderId="20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29" xfId="0" applyNumberFormat="1" applyFont="1" applyBorder="1" applyAlignment="1">
      <alignment vertical="center"/>
    </xf>
    <xf numFmtId="2" fontId="2" fillId="0" borderId="27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7" fillId="0" borderId="21" xfId="0" applyNumberFormat="1" applyFont="1" applyBorder="1" applyAlignment="1">
      <alignment vertical="center"/>
    </xf>
    <xf numFmtId="16" fontId="7" fillId="0" borderId="21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vertical="center"/>
    </xf>
    <xf numFmtId="2" fontId="1" fillId="0" borderId="30" xfId="0" applyNumberFormat="1" applyFont="1" applyBorder="1" applyAlignment="1">
      <alignment vertical="center"/>
    </xf>
    <xf numFmtId="2" fontId="1" fillId="0" borderId="21" xfId="0" applyNumberFormat="1" applyFont="1" applyBorder="1" applyAlignment="1">
      <alignment vertical="center"/>
    </xf>
    <xf numFmtId="2" fontId="1" fillId="0" borderId="23" xfId="0" applyNumberFormat="1" applyFont="1" applyBorder="1" applyAlignment="1">
      <alignment vertical="center"/>
    </xf>
    <xf numFmtId="2" fontId="1" fillId="0" borderId="32" xfId="0" applyNumberFormat="1" applyFont="1" applyBorder="1" applyAlignment="1">
      <alignment vertical="center"/>
    </xf>
    <xf numFmtId="2" fontId="7" fillId="0" borderId="21" xfId="0" applyNumberFormat="1" applyFont="1" applyBorder="1" applyAlignment="1">
      <alignment horizontal="left" vertical="center"/>
    </xf>
    <xf numFmtId="2" fontId="5" fillId="5" borderId="34" xfId="0" applyNumberFormat="1" applyFont="1" applyFill="1" applyBorder="1" applyAlignment="1">
      <alignment vertical="center"/>
    </xf>
    <xf numFmtId="2" fontId="5" fillId="5" borderId="35" xfId="0" applyNumberFormat="1" applyFont="1" applyFill="1" applyBorder="1" applyAlignment="1">
      <alignment vertical="center"/>
    </xf>
    <xf numFmtId="2" fontId="5" fillId="5" borderId="36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6" borderId="38" xfId="0" applyNumberFormat="1" applyFont="1" applyFill="1" applyBorder="1" applyAlignment="1">
      <alignment vertical="center"/>
    </xf>
    <xf numFmtId="2" fontId="5" fillId="7" borderId="39" xfId="0" applyNumberFormat="1" applyFont="1" applyFill="1" applyBorder="1" applyAlignment="1">
      <alignment vertical="center"/>
    </xf>
    <xf numFmtId="16" fontId="5" fillId="9" borderId="41" xfId="0" applyNumberFormat="1" applyFont="1" applyFill="1" applyBorder="1" applyAlignment="1">
      <alignment horizontal="center" vertical="center"/>
    </xf>
    <xf numFmtId="2" fontId="5" fillId="9" borderId="42" xfId="0" applyNumberFormat="1" applyFont="1" applyFill="1" applyBorder="1" applyAlignment="1">
      <alignment vertical="center"/>
    </xf>
    <xf numFmtId="0" fontId="5" fillId="9" borderId="43" xfId="0" applyFont="1" applyFill="1" applyBorder="1" applyAlignment="1">
      <alignment horizontal="center" vertical="center"/>
    </xf>
    <xf numFmtId="1" fontId="5" fillId="9" borderId="42" xfId="0" applyNumberFormat="1" applyFont="1" applyFill="1" applyBorder="1" applyAlignment="1">
      <alignment horizontal="center" vertical="center"/>
    </xf>
    <xf numFmtId="165" fontId="5" fillId="9" borderId="42" xfId="0" applyNumberFormat="1" applyFont="1" applyFill="1" applyBorder="1" applyAlignment="1">
      <alignment horizontal="center" vertical="center"/>
    </xf>
    <xf numFmtId="16" fontId="5" fillId="9" borderId="42" xfId="0" applyNumberFormat="1" applyFont="1" applyFill="1" applyBorder="1" applyAlignment="1">
      <alignment horizontal="center" vertical="center"/>
    </xf>
    <xf numFmtId="2" fontId="5" fillId="9" borderId="44" xfId="0" applyNumberFormat="1" applyFont="1" applyFill="1" applyBorder="1" applyAlignment="1">
      <alignment vertical="center"/>
    </xf>
    <xf numFmtId="2" fontId="5" fillId="9" borderId="45" xfId="0" applyNumberFormat="1" applyFont="1" applyFill="1" applyBorder="1" applyAlignment="1">
      <alignment vertical="center"/>
    </xf>
    <xf numFmtId="2" fontId="5" fillId="9" borderId="43" xfId="0" applyNumberFormat="1" applyFont="1" applyFill="1" applyBorder="1" applyAlignment="1">
      <alignment vertical="center"/>
    </xf>
    <xf numFmtId="2" fontId="5" fillId="9" borderId="46" xfId="0" applyNumberFormat="1" applyFont="1" applyFill="1" applyBorder="1" applyAlignment="1">
      <alignment vertical="center"/>
    </xf>
    <xf numFmtId="2" fontId="5" fillId="9" borderId="47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5" fillId="0" borderId="0" xfId="2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Font="1"/>
    <xf numFmtId="2" fontId="3" fillId="2" borderId="0" xfId="0" applyNumberFormat="1" applyFont="1" applyFill="1"/>
    <xf numFmtId="2" fontId="2" fillId="2" borderId="0" xfId="0" applyNumberFormat="1" applyFont="1" applyFill="1"/>
    <xf numFmtId="2" fontId="3" fillId="3" borderId="0" xfId="0" applyNumberFormat="1" applyFont="1" applyFill="1"/>
    <xf numFmtId="2" fontId="2" fillId="3" borderId="0" xfId="0" applyNumberFormat="1" applyFont="1" applyFill="1"/>
    <xf numFmtId="16" fontId="1" fillId="0" borderId="18" xfId="0" applyNumberFormat="1" applyFont="1" applyBorder="1" applyAlignment="1">
      <alignment horizontal="right"/>
    </xf>
    <xf numFmtId="2" fontId="7" fillId="0" borderId="21" xfId="0" applyNumberFormat="1" applyFont="1" applyBorder="1"/>
    <xf numFmtId="1" fontId="1" fillId="0" borderId="21" xfId="0" applyNumberFormat="1" applyFont="1" applyBorder="1" applyAlignment="1">
      <alignment horizontal="center"/>
    </xf>
    <xf numFmtId="2" fontId="1" fillId="0" borderId="29" xfId="0" applyNumberFormat="1" applyFont="1" applyBorder="1"/>
    <xf numFmtId="2" fontId="1" fillId="0" borderId="30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3" xfId="0" applyNumberFormat="1" applyFont="1" applyBorder="1"/>
    <xf numFmtId="2" fontId="1" fillId="0" borderId="27" xfId="0" applyNumberFormat="1" applyFont="1" applyBorder="1"/>
    <xf numFmtId="2" fontId="1" fillId="0" borderId="32" xfId="0" applyNumberFormat="1" applyFont="1" applyBorder="1"/>
    <xf numFmtId="16" fontId="7" fillId="0" borderId="21" xfId="0" applyNumberFormat="1" applyFont="1" applyBorder="1" applyAlignment="1">
      <alignment horizontal="center"/>
    </xf>
    <xf numFmtId="0" fontId="10" fillId="0" borderId="0" xfId="0" applyFont="1"/>
    <xf numFmtId="2" fontId="5" fillId="0" borderId="32" xfId="0" applyNumberFormat="1" applyFont="1" applyBorder="1"/>
    <xf numFmtId="16" fontId="1" fillId="0" borderId="18" xfId="0" applyNumberFormat="1" applyFont="1" applyBorder="1"/>
    <xf numFmtId="16" fontId="5" fillId="0" borderId="10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6" fontId="5" fillId="9" borderId="41" xfId="0" applyNumberFormat="1" applyFont="1" applyFill="1" applyBorder="1" applyAlignment="1">
      <alignment horizontal="right" vertical="center"/>
    </xf>
    <xf numFmtId="1" fontId="5" fillId="9" borderId="43" xfId="0" applyNumberFormat="1" applyFont="1" applyFill="1" applyBorder="1" applyAlignment="1">
      <alignment horizontal="center" vertical="center"/>
    </xf>
    <xf numFmtId="2" fontId="5" fillId="9" borderId="42" xfId="0" applyNumberFormat="1" applyFont="1" applyFill="1" applyBorder="1" applyAlignment="1">
      <alignment horizontal="center" vertical="center"/>
    </xf>
    <xf numFmtId="16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3" fillId="0" borderId="0" xfId="0" applyFont="1"/>
    <xf numFmtId="1" fontId="9" fillId="0" borderId="0" xfId="0" applyNumberFormat="1" applyFont="1" applyAlignment="1">
      <alignment horizontal="center"/>
    </xf>
    <xf numFmtId="1" fontId="3" fillId="0" borderId="0" xfId="0" applyNumberFormat="1" applyFont="1"/>
    <xf numFmtId="2" fontId="5" fillId="0" borderId="0" xfId="2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horizontal="center"/>
    </xf>
    <xf numFmtId="2" fontId="2" fillId="10" borderId="0" xfId="0" applyNumberFormat="1" applyFont="1" applyFill="1"/>
    <xf numFmtId="1" fontId="2" fillId="10" borderId="0" xfId="0" applyNumberFormat="1" applyFont="1" applyFill="1"/>
    <xf numFmtId="1" fontId="2" fillId="0" borderId="0" xfId="0" applyNumberFormat="1" applyFont="1" applyAlignment="1">
      <alignment horizontal="left"/>
    </xf>
    <xf numFmtId="2" fontId="3" fillId="0" borderId="0" xfId="0" applyNumberFormat="1" applyFont="1"/>
    <xf numFmtId="2" fontId="7" fillId="0" borderId="21" xfId="0" applyNumberFormat="1" applyFont="1" applyBorder="1" applyAlignment="1">
      <alignment horizontal="center"/>
    </xf>
    <xf numFmtId="0" fontId="5" fillId="9" borderId="42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16" fontId="7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/>
    <xf numFmtId="2" fontId="7" fillId="0" borderId="32" xfId="0" applyNumberFormat="1" applyFont="1" applyBorder="1"/>
    <xf numFmtId="2" fontId="12" fillId="11" borderId="27" xfId="0" applyNumberFormat="1" applyFont="1" applyFill="1" applyBorder="1" applyAlignment="1">
      <alignment vertical="center"/>
    </xf>
    <xf numFmtId="2" fontId="12" fillId="11" borderId="20" xfId="0" applyNumberFormat="1" applyFont="1" applyFill="1" applyBorder="1" applyAlignment="1">
      <alignment vertical="center"/>
    </xf>
    <xf numFmtId="0" fontId="13" fillId="11" borderId="0" xfId="0" applyFont="1" applyFill="1" applyAlignment="1">
      <alignment vertical="center"/>
    </xf>
    <xf numFmtId="2" fontId="5" fillId="0" borderId="21" xfId="0" applyNumberFormat="1" applyFont="1" applyBorder="1" applyAlignment="1">
      <alignment vertical="center"/>
    </xf>
    <xf numFmtId="2" fontId="5" fillId="0" borderId="23" xfId="0" applyNumberFormat="1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2" fontId="12" fillId="11" borderId="21" xfId="0" applyNumberFormat="1" applyFont="1" applyFill="1" applyBorder="1" applyAlignment="1">
      <alignment vertical="center"/>
    </xf>
    <xf numFmtId="2" fontId="12" fillId="11" borderId="32" xfId="0" applyNumberFormat="1" applyFont="1" applyFill="1" applyBorder="1" applyAlignment="1">
      <alignment vertical="center"/>
    </xf>
    <xf numFmtId="2" fontId="7" fillId="0" borderId="30" xfId="0" applyNumberFormat="1" applyFont="1" applyBorder="1" applyAlignment="1">
      <alignment vertical="center"/>
    </xf>
    <xf numFmtId="2" fontId="7" fillId="0" borderId="20" xfId="0" applyNumberFormat="1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16" fontId="5" fillId="4" borderId="53" xfId="0" applyNumberFormat="1" applyFont="1" applyFill="1" applyBorder="1" applyAlignment="1">
      <alignment horizontal="center" vertical="center"/>
    </xf>
    <xf numFmtId="2" fontId="5" fillId="4" borderId="51" xfId="0" applyNumberFormat="1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1" fontId="5" fillId="4" borderId="51" xfId="0" applyNumberFormat="1" applyFont="1" applyFill="1" applyBorder="1" applyAlignment="1">
      <alignment horizontal="center" vertical="center"/>
    </xf>
    <xf numFmtId="165" fontId="5" fillId="4" borderId="51" xfId="0" applyNumberFormat="1" applyFont="1" applyFill="1" applyBorder="1" applyAlignment="1">
      <alignment horizontal="center" vertical="center"/>
    </xf>
    <xf numFmtId="16" fontId="5" fillId="4" borderId="51" xfId="0" applyNumberFormat="1" applyFont="1" applyFill="1" applyBorder="1" applyAlignment="1">
      <alignment horizontal="center" vertical="center"/>
    </xf>
    <xf numFmtId="2" fontId="5" fillId="4" borderId="54" xfId="0" applyNumberFormat="1" applyFont="1" applyFill="1" applyBorder="1" applyAlignment="1">
      <alignment vertical="center"/>
    </xf>
    <xf numFmtId="2" fontId="5" fillId="4" borderId="55" xfId="0" applyNumberFormat="1" applyFont="1" applyFill="1" applyBorder="1" applyAlignment="1">
      <alignment vertical="center"/>
    </xf>
    <xf numFmtId="2" fontId="5" fillId="5" borderId="56" xfId="0" applyNumberFormat="1" applyFont="1" applyFill="1" applyBorder="1" applyAlignment="1">
      <alignment vertical="center"/>
    </xf>
    <xf numFmtId="2" fontId="5" fillId="6" borderId="58" xfId="0" applyNumberFormat="1" applyFont="1" applyFill="1" applyBorder="1" applyAlignment="1">
      <alignment vertical="center"/>
    </xf>
    <xf numFmtId="2" fontId="5" fillId="6" borderId="59" xfId="0" applyNumberFormat="1" applyFont="1" applyFill="1" applyBorder="1" applyAlignment="1">
      <alignment vertical="center"/>
    </xf>
    <xf numFmtId="2" fontId="5" fillId="6" borderId="60" xfId="0" applyNumberFormat="1" applyFont="1" applyFill="1" applyBorder="1" applyAlignment="1">
      <alignment vertical="center"/>
    </xf>
    <xf numFmtId="2" fontId="5" fillId="8" borderId="58" xfId="0" applyNumberFormat="1" applyFont="1" applyFill="1" applyBorder="1" applyAlignment="1">
      <alignment vertical="center"/>
    </xf>
    <xf numFmtId="2" fontId="5" fillId="8" borderId="59" xfId="0" applyNumberFormat="1" applyFont="1" applyFill="1" applyBorder="1" applyAlignment="1">
      <alignment vertical="center"/>
    </xf>
    <xf numFmtId="2" fontId="5" fillId="8" borderId="61" xfId="0" applyNumberFormat="1" applyFont="1" applyFill="1" applyBorder="1" applyAlignment="1">
      <alignment vertical="center"/>
    </xf>
    <xf numFmtId="2" fontId="5" fillId="5" borderId="54" xfId="0" applyNumberFormat="1" applyFont="1" applyFill="1" applyBorder="1" applyAlignment="1">
      <alignment vertical="center"/>
    </xf>
    <xf numFmtId="2" fontId="5" fillId="6" borderId="62" xfId="0" applyNumberFormat="1" applyFont="1" applyFill="1" applyBorder="1" applyAlignment="1">
      <alignment vertical="center"/>
    </xf>
    <xf numFmtId="2" fontId="5" fillId="6" borderId="63" xfId="0" applyNumberFormat="1" applyFont="1" applyFill="1" applyBorder="1" applyAlignment="1">
      <alignment vertical="center"/>
    </xf>
    <xf numFmtId="2" fontId="5" fillId="5" borderId="50" xfId="0" applyNumberFormat="1" applyFont="1" applyFill="1" applyBorder="1" applyAlignment="1">
      <alignment vertical="center"/>
    </xf>
    <xf numFmtId="2" fontId="5" fillId="6" borderId="65" xfId="0" applyNumberFormat="1" applyFont="1" applyFill="1" applyBorder="1" applyAlignment="1">
      <alignment vertical="center"/>
    </xf>
    <xf numFmtId="2" fontId="5" fillId="6" borderId="57" xfId="0" applyNumberFormat="1" applyFont="1" applyFill="1" applyBorder="1" applyAlignment="1">
      <alignment vertical="center"/>
    </xf>
    <xf numFmtId="2" fontId="5" fillId="6" borderId="66" xfId="0" applyNumberFormat="1" applyFont="1" applyFill="1" applyBorder="1" applyAlignment="1">
      <alignment vertical="center"/>
    </xf>
    <xf numFmtId="2" fontId="5" fillId="6" borderId="61" xfId="0" applyNumberFormat="1" applyFont="1" applyFill="1" applyBorder="1" applyAlignment="1">
      <alignment vertical="center"/>
    </xf>
    <xf numFmtId="16" fontId="5" fillId="4" borderId="53" xfId="0" applyNumberFormat="1" applyFont="1" applyFill="1" applyBorder="1" applyAlignment="1">
      <alignment horizontal="right" vertical="center"/>
    </xf>
    <xf numFmtId="1" fontId="5" fillId="4" borderId="35" xfId="0" applyNumberFormat="1" applyFont="1" applyFill="1" applyBorder="1" applyAlignment="1">
      <alignment horizontal="center" vertical="center"/>
    </xf>
    <xf numFmtId="2" fontId="5" fillId="4" borderId="51" xfId="0" applyNumberFormat="1" applyFont="1" applyFill="1" applyBorder="1" applyAlignment="1">
      <alignment horizontal="center" vertical="center"/>
    </xf>
    <xf numFmtId="16" fontId="5" fillId="0" borderId="67" xfId="0" applyNumberFormat="1" applyFont="1" applyBorder="1" applyAlignment="1">
      <alignment horizontal="right" vertical="center"/>
    </xf>
    <xf numFmtId="2" fontId="5" fillId="0" borderId="40" xfId="0" applyNumberFormat="1" applyFont="1" applyBorder="1" applyAlignment="1">
      <alignment vertical="center"/>
    </xf>
    <xf numFmtId="1" fontId="5" fillId="0" borderId="59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2" fontId="5" fillId="0" borderId="57" xfId="0" applyNumberFormat="1" applyFont="1" applyBorder="1" applyAlignment="1">
      <alignment vertical="center"/>
    </xf>
    <xf numFmtId="2" fontId="7" fillId="0" borderId="49" xfId="0" applyNumberFormat="1" applyFont="1" applyBorder="1"/>
    <xf numFmtId="0" fontId="5" fillId="0" borderId="40" xfId="0" applyFont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2" fontId="5" fillId="4" borderId="35" xfId="0" applyNumberFormat="1" applyFont="1" applyFill="1" applyBorder="1" applyAlignment="1">
      <alignment vertical="center"/>
    </xf>
    <xf numFmtId="2" fontId="5" fillId="4" borderId="68" xfId="0" applyNumberFormat="1" applyFont="1" applyFill="1" applyBorder="1" applyAlignment="1">
      <alignment vertical="center"/>
    </xf>
    <xf numFmtId="2" fontId="5" fillId="6" borderId="70" xfId="0" applyNumberFormat="1" applyFont="1" applyFill="1" applyBorder="1" applyAlignment="1">
      <alignment vertical="center"/>
    </xf>
    <xf numFmtId="2" fontId="5" fillId="9" borderId="71" xfId="0" applyNumberFormat="1" applyFont="1" applyFill="1" applyBorder="1" applyAlignment="1">
      <alignment vertical="center"/>
    </xf>
    <xf numFmtId="2" fontId="5" fillId="6" borderId="72" xfId="0" applyNumberFormat="1" applyFont="1" applyFill="1" applyBorder="1" applyAlignment="1">
      <alignment vertical="center"/>
    </xf>
    <xf numFmtId="2" fontId="5" fillId="0" borderId="73" xfId="0" applyNumberFormat="1" applyFont="1" applyBorder="1" applyAlignment="1">
      <alignment vertical="center"/>
    </xf>
    <xf numFmtId="16" fontId="1" fillId="0" borderId="74" xfId="0" applyNumberFormat="1" applyFont="1" applyBorder="1" applyAlignment="1">
      <alignment horizontal="right"/>
    </xf>
    <xf numFmtId="2" fontId="1" fillId="0" borderId="52" xfId="0" applyNumberFormat="1" applyFont="1" applyBorder="1"/>
    <xf numFmtId="2" fontId="1" fillId="0" borderId="31" xfId="0" applyNumberFormat="1" applyFont="1" applyBorder="1"/>
    <xf numFmtId="2" fontId="1" fillId="0" borderId="24" xfId="0" applyNumberFormat="1" applyFont="1" applyBorder="1"/>
    <xf numFmtId="2" fontId="1" fillId="0" borderId="25" xfId="0" applyNumberFormat="1" applyFont="1" applyBorder="1"/>
    <xf numFmtId="2" fontId="1" fillId="0" borderId="28" xfId="0" applyNumberFormat="1" applyFont="1" applyBorder="1"/>
    <xf numFmtId="16" fontId="5" fillId="0" borderId="76" xfId="0" applyNumberFormat="1" applyFont="1" applyBorder="1" applyAlignment="1">
      <alignment horizontal="right"/>
    </xf>
    <xf numFmtId="2" fontId="5" fillId="0" borderId="77" xfId="0" applyNumberFormat="1" applyFont="1" applyBorder="1"/>
    <xf numFmtId="1" fontId="5" fillId="0" borderId="78" xfId="0" applyNumberFormat="1" applyFont="1" applyBorder="1" applyAlignment="1">
      <alignment horizontal="center"/>
    </xf>
    <xf numFmtId="1" fontId="5" fillId="0" borderId="77" xfId="0" applyNumberFormat="1" applyFont="1" applyBorder="1" applyAlignment="1">
      <alignment horizontal="center"/>
    </xf>
    <xf numFmtId="1" fontId="6" fillId="0" borderId="77" xfId="0" applyNumberFormat="1" applyFont="1" applyBorder="1" applyAlignment="1">
      <alignment horizontal="center"/>
    </xf>
    <xf numFmtId="2" fontId="5" fillId="0" borderId="79" xfId="0" applyNumberFormat="1" applyFont="1" applyBorder="1"/>
    <xf numFmtId="2" fontId="5" fillId="0" borderId="80" xfId="0" applyNumberFormat="1" applyFont="1" applyBorder="1"/>
    <xf numFmtId="2" fontId="5" fillId="0" borderId="78" xfId="0" applyNumberFormat="1" applyFont="1" applyBorder="1"/>
    <xf numFmtId="2" fontId="5" fillId="0" borderId="81" xfId="0" applyNumberFormat="1" applyFont="1" applyBorder="1"/>
    <xf numFmtId="2" fontId="6" fillId="0" borderId="77" xfId="0" applyNumberFormat="1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4" fontId="6" fillId="0" borderId="77" xfId="0" applyNumberFormat="1" applyFont="1" applyBorder="1" applyAlignment="1">
      <alignment horizontal="center"/>
    </xf>
    <xf numFmtId="4" fontId="3" fillId="3" borderId="64" xfId="0" applyNumberFormat="1" applyFont="1" applyFill="1" applyBorder="1" applyAlignment="1">
      <alignment horizontal="center" vertical="center"/>
    </xf>
    <xf numFmtId="4" fontId="3" fillId="3" borderId="63" xfId="0" applyNumberFormat="1" applyFont="1" applyFill="1" applyBorder="1" applyAlignment="1">
      <alignment horizontal="center" vertical="center"/>
    </xf>
    <xf numFmtId="2" fontId="2" fillId="12" borderId="50" xfId="0" applyNumberFormat="1" applyFont="1" applyFill="1" applyBorder="1"/>
    <xf numFmtId="2" fontId="2" fillId="12" borderId="51" xfId="0" applyNumberFormat="1" applyFont="1" applyFill="1" applyBorder="1"/>
    <xf numFmtId="2" fontId="2" fillId="12" borderId="36" xfId="0" applyNumberFormat="1" applyFont="1" applyFill="1" applyBorder="1"/>
    <xf numFmtId="2" fontId="2" fillId="13" borderId="50" xfId="0" applyNumberFormat="1" applyFont="1" applyFill="1" applyBorder="1"/>
    <xf numFmtId="2" fontId="2" fillId="13" borderId="51" xfId="0" applyNumberFormat="1" applyFont="1" applyFill="1" applyBorder="1"/>
    <xf numFmtId="2" fontId="2" fillId="13" borderId="36" xfId="0" applyNumberFormat="1" applyFont="1" applyFill="1" applyBorder="1"/>
    <xf numFmtId="2" fontId="2" fillId="14" borderId="50" xfId="0" applyNumberFormat="1" applyFont="1" applyFill="1" applyBorder="1"/>
    <xf numFmtId="2" fontId="2" fillId="14" borderId="51" xfId="0" applyNumberFormat="1" applyFont="1" applyFill="1" applyBorder="1"/>
    <xf numFmtId="2" fontId="2" fillId="14" borderId="36" xfId="0" applyNumberFormat="1" applyFont="1" applyFill="1" applyBorder="1"/>
    <xf numFmtId="4" fontId="14" fillId="3" borderId="63" xfId="0" applyNumberFormat="1" applyFont="1" applyFill="1" applyBorder="1" applyAlignment="1">
      <alignment horizontal="center" vertical="center" wrapText="1"/>
    </xf>
    <xf numFmtId="4" fontId="15" fillId="3" borderId="63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15" borderId="79" xfId="0" applyNumberFormat="1" applyFont="1" applyFill="1" applyBorder="1"/>
    <xf numFmtId="2" fontId="5" fillId="15" borderId="78" xfId="0" applyNumberFormat="1" applyFont="1" applyFill="1" applyBorder="1"/>
    <xf numFmtId="2" fontId="5" fillId="15" borderId="82" xfId="0" applyNumberFormat="1" applyFont="1" applyFill="1" applyBorder="1"/>
    <xf numFmtId="2" fontId="7" fillId="16" borderId="21" xfId="0" applyNumberFormat="1" applyFont="1" applyFill="1" applyBorder="1" applyAlignment="1">
      <alignment horizontal="left" vertical="center"/>
    </xf>
    <xf numFmtId="1" fontId="7" fillId="16" borderId="21" xfId="0" applyNumberFormat="1" applyFont="1" applyFill="1" applyBorder="1" applyAlignment="1">
      <alignment horizontal="center" vertical="center"/>
    </xf>
    <xf numFmtId="165" fontId="7" fillId="0" borderId="21" xfId="0" applyNumberFormat="1" applyFont="1" applyBorder="1" applyAlignment="1">
      <alignment horizontal="right" vertical="center"/>
    </xf>
    <xf numFmtId="0" fontId="13" fillId="11" borderId="21" xfId="0" applyFont="1" applyFill="1" applyBorder="1" applyAlignment="1">
      <alignment horizontal="center" vertical="center"/>
    </xf>
    <xf numFmtId="2" fontId="18" fillId="0" borderId="0" xfId="0" applyNumberFormat="1" applyFont="1"/>
    <xf numFmtId="0" fontId="19" fillId="0" borderId="0" xfId="0" applyFont="1"/>
    <xf numFmtId="16" fontId="7" fillId="0" borderId="18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6" fillId="0" borderId="77" xfId="0" applyNumberFormat="1" applyFont="1" applyBorder="1" applyAlignment="1">
      <alignment horizontal="right" vertical="center"/>
    </xf>
    <xf numFmtId="2" fontId="5" fillId="4" borderId="51" xfId="0" applyNumberFormat="1" applyFont="1" applyFill="1" applyBorder="1" applyAlignment="1">
      <alignment horizontal="right" vertical="center"/>
    </xf>
    <xf numFmtId="2" fontId="5" fillId="0" borderId="40" xfId="0" applyNumberFormat="1" applyFont="1" applyBorder="1" applyAlignment="1">
      <alignment horizontal="right" vertical="center"/>
    </xf>
    <xf numFmtId="2" fontId="5" fillId="9" borderId="42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4" fontId="3" fillId="3" borderId="84" xfId="0" applyNumberFormat="1" applyFont="1" applyFill="1" applyBorder="1" applyAlignment="1">
      <alignment horizontal="center" vertical="center"/>
    </xf>
    <xf numFmtId="2" fontId="5" fillId="0" borderId="85" xfId="0" applyNumberFormat="1" applyFont="1" applyBorder="1" applyAlignment="1">
      <alignment vertical="center"/>
    </xf>
    <xf numFmtId="2" fontId="5" fillId="0" borderId="86" xfId="0" applyNumberFormat="1" applyFont="1" applyBorder="1" applyAlignment="1">
      <alignment vertical="center"/>
    </xf>
    <xf numFmtId="2" fontId="12" fillId="11" borderId="86" xfId="0" applyNumberFormat="1" applyFont="1" applyFill="1" applyBorder="1" applyAlignment="1">
      <alignment vertical="center"/>
    </xf>
    <xf numFmtId="2" fontId="1" fillId="0" borderId="86" xfId="0" applyNumberFormat="1" applyFont="1" applyBorder="1" applyAlignment="1">
      <alignment vertical="center"/>
    </xf>
    <xf numFmtId="2" fontId="5" fillId="8" borderId="65" xfId="0" applyNumberFormat="1" applyFont="1" applyFill="1" applyBorder="1" applyAlignment="1">
      <alignment vertical="center"/>
    </xf>
    <xf numFmtId="2" fontId="5" fillId="9" borderId="87" xfId="0" applyNumberFormat="1" applyFont="1" applyFill="1" applyBorder="1" applyAlignment="1">
      <alignment vertical="center"/>
    </xf>
    <xf numFmtId="2" fontId="1" fillId="0" borderId="86" xfId="0" applyNumberFormat="1" applyFont="1" applyBorder="1"/>
    <xf numFmtId="2" fontId="5" fillId="4" borderId="50" xfId="0" applyNumberFormat="1" applyFont="1" applyFill="1" applyBorder="1" applyAlignment="1">
      <alignment vertical="center"/>
    </xf>
    <xf numFmtId="2" fontId="5" fillId="6" borderId="84" xfId="0" applyNumberFormat="1" applyFont="1" applyFill="1" applyBorder="1" applyAlignment="1">
      <alignment vertical="center"/>
    </xf>
    <xf numFmtId="10" fontId="2" fillId="0" borderId="0" xfId="0" applyNumberFormat="1" applyFont="1"/>
    <xf numFmtId="2" fontId="7" fillId="0" borderId="21" xfId="0" applyNumberFormat="1" applyFont="1" applyBorder="1" applyAlignment="1">
      <alignment horizontal="left" vertical="center" wrapText="1"/>
    </xf>
    <xf numFmtId="16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2" fontId="2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7" fillId="0" borderId="21" xfId="0" applyNumberFormat="1" applyFont="1" applyBorder="1" applyAlignment="1">
      <alignment vertical="center" wrapText="1"/>
    </xf>
    <xf numFmtId="2" fontId="18" fillId="0" borderId="0" xfId="0" applyNumberFormat="1" applyFont="1" applyAlignment="1">
      <alignment vertical="center"/>
    </xf>
    <xf numFmtId="2" fontId="7" fillId="16" borderId="21" xfId="0" applyNumberFormat="1" applyFont="1" applyFill="1" applyBorder="1" applyAlignment="1">
      <alignment vertical="center"/>
    </xf>
    <xf numFmtId="16" fontId="12" fillId="0" borderId="18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vertical="center"/>
    </xf>
    <xf numFmtId="44" fontId="5" fillId="0" borderId="0" xfId="3" applyFont="1"/>
    <xf numFmtId="44" fontId="5" fillId="0" borderId="33" xfId="3" applyFont="1" applyBorder="1"/>
    <xf numFmtId="44" fontId="3" fillId="0" borderId="0" xfId="3" applyFont="1"/>
    <xf numFmtId="44" fontId="2" fillId="0" borderId="0" xfId="3" applyFont="1"/>
    <xf numFmtId="44" fontId="3" fillId="0" borderId="48" xfId="3" applyFont="1" applyBorder="1"/>
    <xf numFmtId="44" fontId="2" fillId="10" borderId="0" xfId="3" applyFont="1" applyFill="1"/>
    <xf numFmtId="44" fontId="2" fillId="0" borderId="33" xfId="3" applyFont="1" applyBorder="1"/>
    <xf numFmtId="2" fontId="7" fillId="0" borderId="0" xfId="0" applyNumberFormat="1" applyFont="1"/>
    <xf numFmtId="43" fontId="2" fillId="0" borderId="0" xfId="4" applyFont="1"/>
    <xf numFmtId="43" fontId="2" fillId="0" borderId="0" xfId="4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44" fontId="0" fillId="0" borderId="35" xfId="3" applyFont="1" applyBorder="1"/>
    <xf numFmtId="43" fontId="0" fillId="0" borderId="0" xfId="4" applyFont="1" applyFill="1"/>
    <xf numFmtId="4" fontId="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1" fillId="0" borderId="20" xfId="0" quotePrefix="1" applyNumberFormat="1" applyFont="1" applyBorder="1" applyAlignment="1">
      <alignment horizontal="center"/>
    </xf>
    <xf numFmtId="2" fontId="2" fillId="12" borderId="89" xfId="0" applyNumberFormat="1" applyFont="1" applyFill="1" applyBorder="1"/>
    <xf numFmtId="2" fontId="2" fillId="12" borderId="33" xfId="0" applyNumberFormat="1" applyFont="1" applyFill="1" applyBorder="1"/>
    <xf numFmtId="16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textRotation="90" wrapText="1"/>
    </xf>
    <xf numFmtId="1" fontId="2" fillId="0" borderId="0" xfId="0" applyNumberFormat="1" applyFont="1" applyAlignment="1">
      <alignment horizontal="left" vertical="center"/>
    </xf>
    <xf numFmtId="4" fontId="22" fillId="3" borderId="63" xfId="0" applyNumberFormat="1" applyFont="1" applyFill="1" applyBorder="1" applyAlignment="1">
      <alignment horizontal="center" vertical="center" wrapText="1"/>
    </xf>
    <xf numFmtId="2" fontId="13" fillId="0" borderId="19" xfId="0" applyNumberFormat="1" applyFont="1" applyBorder="1" applyAlignment="1">
      <alignment vertical="center"/>
    </xf>
    <xf numFmtId="16" fontId="1" fillId="0" borderId="21" xfId="0" applyNumberFormat="1" applyFont="1" applyBorder="1" applyAlignment="1">
      <alignment horizontal="center" vertical="center"/>
    </xf>
    <xf numFmtId="0" fontId="13" fillId="11" borderId="19" xfId="0" applyFont="1" applyFill="1" applyBorder="1" applyAlignment="1">
      <alignment vertical="center"/>
    </xf>
    <xf numFmtId="2" fontId="12" fillId="11" borderId="30" xfId="0" applyNumberFormat="1" applyFont="1" applyFill="1" applyBorder="1" applyAlignment="1">
      <alignment vertical="center"/>
    </xf>
    <xf numFmtId="166" fontId="23" fillId="0" borderId="0" xfId="0" applyNumberFormat="1" applyFont="1"/>
    <xf numFmtId="0" fontId="24" fillId="0" borderId="0" xfId="0" applyFont="1"/>
    <xf numFmtId="0" fontId="25" fillId="0" borderId="0" xfId="0" applyFont="1"/>
    <xf numFmtId="0" fontId="25" fillId="0" borderId="92" xfId="0" applyFont="1" applyBorder="1"/>
    <xf numFmtId="166" fontId="23" fillId="0" borderId="93" xfId="0" applyNumberFormat="1" applyFont="1" applyBorder="1"/>
    <xf numFmtId="166" fontId="23" fillId="0" borderId="94" xfId="0" applyNumberFormat="1" applyFont="1" applyBorder="1"/>
    <xf numFmtId="0" fontId="23" fillId="0" borderId="0" xfId="0" applyFont="1"/>
    <xf numFmtId="0" fontId="23" fillId="0" borderId="92" xfId="0" applyFont="1" applyBorder="1"/>
    <xf numFmtId="0" fontId="23" fillId="0" borderId="0" xfId="0" applyFont="1" applyAlignment="1">
      <alignment wrapText="1"/>
    </xf>
    <xf numFmtId="0" fontId="23" fillId="0" borderId="92" xfId="0" applyFont="1" applyBorder="1" applyAlignment="1">
      <alignment wrapText="1"/>
    </xf>
    <xf numFmtId="0" fontId="25" fillId="0" borderId="0" xfId="0" applyFont="1" applyAlignment="1">
      <alignment wrapText="1"/>
    </xf>
    <xf numFmtId="167" fontId="23" fillId="0" borderId="0" xfId="0" applyNumberFormat="1" applyFont="1"/>
    <xf numFmtId="167" fontId="25" fillId="0" borderId="92" xfId="0" applyNumberFormat="1" applyFont="1" applyBorder="1"/>
    <xf numFmtId="167" fontId="23" fillId="19" borderId="0" xfId="0" applyNumberFormat="1" applyFont="1" applyFill="1"/>
    <xf numFmtId="2" fontId="5" fillId="0" borderId="27" xfId="0" applyNumberFormat="1" applyFont="1" applyBorder="1" applyAlignment="1">
      <alignment vertical="center"/>
    </xf>
    <xf numFmtId="2" fontId="1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5" fillId="9" borderId="4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8" fontId="5" fillId="0" borderId="0" xfId="0" applyNumberFormat="1" applyFont="1"/>
    <xf numFmtId="168" fontId="5" fillId="0" borderId="33" xfId="0" applyNumberFormat="1" applyFont="1" applyBorder="1"/>
    <xf numFmtId="168" fontId="3" fillId="0" borderId="0" xfId="0" applyNumberFormat="1" applyFont="1"/>
    <xf numFmtId="168" fontId="2" fillId="0" borderId="0" xfId="0" applyNumberFormat="1" applyFont="1"/>
    <xf numFmtId="168" fontId="3" fillId="0" borderId="48" xfId="0" applyNumberFormat="1" applyFont="1" applyBorder="1"/>
    <xf numFmtId="168" fontId="2" fillId="0" borderId="0" xfId="0" applyNumberFormat="1" applyFont="1" applyAlignment="1">
      <alignment vertical="center"/>
    </xf>
    <xf numFmtId="168" fontId="2" fillId="0" borderId="33" xfId="0" applyNumberFormat="1" applyFont="1" applyBorder="1" applyAlignment="1">
      <alignment vertical="center"/>
    </xf>
    <xf numFmtId="168" fontId="3" fillId="0" borderId="0" xfId="0" applyNumberFormat="1" applyFont="1" applyAlignment="1">
      <alignment vertical="center"/>
    </xf>
    <xf numFmtId="168" fontId="3" fillId="0" borderId="48" xfId="0" applyNumberFormat="1" applyFont="1" applyBorder="1" applyAlignment="1">
      <alignment vertical="center"/>
    </xf>
    <xf numFmtId="44" fontId="5" fillId="0" borderId="0" xfId="3" applyFont="1" applyAlignment="1">
      <alignment vertical="center"/>
    </xf>
    <xf numFmtId="1" fontId="7" fillId="0" borderId="21" xfId="0" quotePrefix="1" applyNumberFormat="1" applyFont="1" applyBorder="1" applyAlignment="1">
      <alignment horizontal="center" vertical="center"/>
    </xf>
    <xf numFmtId="44" fontId="2" fillId="17" borderId="0" xfId="3" applyFont="1" applyFill="1"/>
    <xf numFmtId="2" fontId="5" fillId="5" borderId="95" xfId="0" applyNumberFormat="1" applyFont="1" applyFill="1" applyBorder="1" applyAlignment="1">
      <alignment vertical="center"/>
    </xf>
    <xf numFmtId="2" fontId="5" fillId="6" borderId="96" xfId="0" applyNumberFormat="1" applyFont="1" applyFill="1" applyBorder="1" applyAlignment="1">
      <alignment vertical="center"/>
    </xf>
    <xf numFmtId="2" fontId="5" fillId="9" borderId="97" xfId="0" applyNumberFormat="1" applyFont="1" applyFill="1" applyBorder="1" applyAlignment="1">
      <alignment vertical="center"/>
    </xf>
    <xf numFmtId="1" fontId="1" fillId="0" borderId="21" xfId="0" applyNumberFormat="1" applyFont="1" applyBorder="1" applyAlignment="1">
      <alignment horizontal="left"/>
    </xf>
    <xf numFmtId="0" fontId="7" fillId="0" borderId="0" xfId="0" applyFont="1"/>
    <xf numFmtId="0" fontId="13" fillId="0" borderId="25" xfId="0" applyFont="1" applyBorder="1"/>
    <xf numFmtId="1" fontId="7" fillId="0" borderId="0" xfId="0" quotePrefix="1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right" vertical="center"/>
    </xf>
    <xf numFmtId="2" fontId="1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right"/>
    </xf>
    <xf numFmtId="2" fontId="1" fillId="0" borderId="32" xfId="0" applyNumberFormat="1" applyFont="1" applyBorder="1" applyAlignment="1">
      <alignment horizontal="right"/>
    </xf>
    <xf numFmtId="4" fontId="3" fillId="3" borderId="59" xfId="0" applyNumberFormat="1" applyFont="1" applyFill="1" applyBorder="1" applyAlignment="1">
      <alignment horizontal="center" vertical="center"/>
    </xf>
    <xf numFmtId="2" fontId="1" fillId="0" borderId="98" xfId="0" applyNumberFormat="1" applyFont="1" applyBorder="1" applyAlignment="1">
      <alignment vertical="center"/>
    </xf>
    <xf numFmtId="166" fontId="25" fillId="0" borderId="0" xfId="0" applyNumberFormat="1" applyFont="1"/>
    <xf numFmtId="0" fontId="27" fillId="0" borderId="0" xfId="0" applyFont="1"/>
    <xf numFmtId="169" fontId="23" fillId="0" borderId="0" xfId="4" applyNumberFormat="1" applyFont="1"/>
    <xf numFmtId="0" fontId="27" fillId="0" borderId="99" xfId="0" applyFont="1" applyBorder="1"/>
    <xf numFmtId="169" fontId="23" fillId="0" borderId="99" xfId="4" applyNumberFormat="1" applyFont="1" applyBorder="1"/>
    <xf numFmtId="170" fontId="0" fillId="0" borderId="0" xfId="4" applyNumberFormat="1" applyFont="1"/>
    <xf numFmtId="2" fontId="12" fillId="0" borderId="32" xfId="0" applyNumberFormat="1" applyFont="1" applyBorder="1" applyAlignment="1">
      <alignment vertical="center"/>
    </xf>
    <xf numFmtId="2" fontId="12" fillId="0" borderId="21" xfId="0" applyNumberFormat="1" applyFont="1" applyBorder="1" applyAlignment="1">
      <alignment vertical="center"/>
    </xf>
    <xf numFmtId="43" fontId="7" fillId="0" borderId="23" xfId="4" applyFont="1" applyBorder="1" applyAlignment="1">
      <alignment vertical="center"/>
    </xf>
    <xf numFmtId="43" fontId="5" fillId="0" borderId="23" xfId="4" applyFont="1" applyBorder="1" applyAlignment="1">
      <alignment vertical="center"/>
    </xf>
    <xf numFmtId="43" fontId="12" fillId="11" borderId="23" xfId="4" applyFont="1" applyFill="1" applyBorder="1" applyAlignment="1">
      <alignment vertical="center"/>
    </xf>
    <xf numFmtId="43" fontId="1" fillId="0" borderId="29" xfId="4" applyFont="1" applyBorder="1" applyAlignment="1">
      <alignment vertical="center"/>
    </xf>
    <xf numFmtId="43" fontId="2" fillId="0" borderId="29" xfId="4" applyFont="1" applyBorder="1" applyAlignment="1">
      <alignment vertical="center"/>
    </xf>
    <xf numFmtId="9" fontId="11" fillId="0" borderId="0" xfId="1"/>
    <xf numFmtId="9" fontId="11" fillId="0" borderId="94" xfId="1" applyBorder="1"/>
    <xf numFmtId="9" fontId="11" fillId="0" borderId="99" xfId="1" applyBorder="1"/>
    <xf numFmtId="9" fontId="21" fillId="0" borderId="0" xfId="1" applyFont="1"/>
    <xf numFmtId="2" fontId="12" fillId="11" borderId="0" xfId="0" applyNumberFormat="1" applyFont="1" applyFill="1" applyAlignment="1">
      <alignment vertical="center"/>
    </xf>
    <xf numFmtId="166" fontId="25" fillId="0" borderId="0" xfId="0" applyNumberFormat="1" applyFont="1" applyAlignment="1">
      <alignment horizontal="center" wrapText="1"/>
    </xf>
    <xf numFmtId="0" fontId="27" fillId="0" borderId="0" xfId="0" applyFont="1" applyAlignment="1">
      <alignment wrapText="1"/>
    </xf>
    <xf numFmtId="4" fontId="3" fillId="3" borderId="64" xfId="0" applyNumberFormat="1" applyFont="1" applyFill="1" applyBorder="1" applyAlignment="1">
      <alignment horizontal="center" vertical="center" wrapText="1"/>
    </xf>
    <xf numFmtId="4" fontId="3" fillId="3" borderId="63" xfId="0" applyNumberFormat="1" applyFont="1" applyFill="1" applyBorder="1" applyAlignment="1">
      <alignment horizontal="center" vertical="center" wrapText="1"/>
    </xf>
    <xf numFmtId="4" fontId="3" fillId="3" borderId="8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59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4" fillId="0" borderId="4" xfId="0" applyNumberFormat="1" applyFont="1" applyBorder="1" applyAlignment="1">
      <alignment horizontal="center" vertical="center" wrapText="1"/>
    </xf>
    <xf numFmtId="14" fontId="5" fillId="4" borderId="51" xfId="0" applyNumberFormat="1" applyFont="1" applyFill="1" applyBorder="1" applyAlignment="1">
      <alignment horizontal="center" vertical="center"/>
    </xf>
    <xf numFmtId="14" fontId="5" fillId="0" borderId="40" xfId="0" applyNumberFormat="1" applyFont="1" applyBorder="1" applyAlignment="1">
      <alignment horizontal="center" vertical="center"/>
    </xf>
    <xf numFmtId="14" fontId="5" fillId="9" borderId="42" xfId="0" applyNumberFormat="1" applyFont="1" applyFill="1" applyBorder="1" applyAlignment="1">
      <alignment horizontal="center" vertical="center"/>
    </xf>
    <xf numFmtId="14" fontId="5" fillId="0" borderId="0" xfId="0" applyNumberFormat="1" applyFont="1"/>
    <xf numFmtId="14" fontId="3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8" fontId="28" fillId="0" borderId="0" xfId="0" applyNumberFormat="1" applyFont="1" applyAlignment="1">
      <alignment vertical="center" wrapText="1"/>
    </xf>
    <xf numFmtId="43" fontId="2" fillId="0" borderId="0" xfId="4" applyFont="1" applyFill="1" applyBorder="1"/>
    <xf numFmtId="166" fontId="11" fillId="0" borderId="0" xfId="1" applyNumberFormat="1"/>
    <xf numFmtId="166" fontId="0" fillId="0" borderId="0" xfId="0" applyNumberFormat="1"/>
    <xf numFmtId="166" fontId="23" fillId="21" borderId="94" xfId="0" applyNumberFormat="1" applyFont="1" applyFill="1" applyBorder="1"/>
    <xf numFmtId="2" fontId="0" fillId="0" borderId="0" xfId="0" applyNumberFormat="1"/>
    <xf numFmtId="167" fontId="0" fillId="0" borderId="0" xfId="0" applyNumberFormat="1"/>
    <xf numFmtId="166" fontId="0" fillId="0" borderId="0" xfId="0" applyNumberFormat="1" applyAlignment="1">
      <alignment wrapText="1"/>
    </xf>
    <xf numFmtId="1" fontId="7" fillId="0" borderId="25" xfId="0" applyNumberFormat="1" applyFont="1" applyBorder="1" applyAlignment="1">
      <alignment horizontal="left"/>
    </xf>
    <xf numFmtId="1" fontId="1" fillId="0" borderId="21" xfId="0" quotePrefix="1" applyNumberFormat="1" applyFont="1" applyBorder="1" applyAlignment="1">
      <alignment horizontal="left"/>
    </xf>
    <xf numFmtId="1" fontId="10" fillId="0" borderId="0" xfId="0" applyNumberFormat="1" applyFont="1" applyAlignment="1">
      <alignment horizontal="left"/>
    </xf>
    <xf numFmtId="14" fontId="1" fillId="0" borderId="21" xfId="0" applyNumberFormat="1" applyFont="1" applyBorder="1" applyAlignment="1">
      <alignment horizontal="left"/>
    </xf>
    <xf numFmtId="2" fontId="1" fillId="0" borderId="32" xfId="0" applyNumberFormat="1" applyFont="1" applyBorder="1" applyAlignment="1">
      <alignment horizontal="left"/>
    </xf>
    <xf numFmtId="43" fontId="0" fillId="0" borderId="0" xfId="4" applyFont="1" applyAlignment="1">
      <alignment wrapText="1"/>
    </xf>
    <xf numFmtId="43" fontId="0" fillId="0" borderId="0" xfId="4" applyFont="1" applyFill="1" applyAlignment="1">
      <alignment wrapText="1"/>
    </xf>
    <xf numFmtId="17" fontId="25" fillId="0" borderId="0" xfId="0" applyNumberFormat="1" applyFont="1" applyAlignment="1">
      <alignment horizontal="center" wrapText="1"/>
    </xf>
    <xf numFmtId="0" fontId="30" fillId="0" borderId="0" xfId="0" applyFont="1"/>
    <xf numFmtId="0" fontId="27" fillId="0" borderId="100" xfId="0" applyFont="1" applyBorder="1"/>
    <xf numFmtId="170" fontId="27" fillId="0" borderId="100" xfId="4" applyNumberFormat="1" applyFont="1" applyBorder="1"/>
    <xf numFmtId="0" fontId="27" fillId="0" borderId="100" xfId="0" applyFont="1" applyBorder="1" applyAlignment="1">
      <alignment wrapText="1"/>
    </xf>
    <xf numFmtId="0" fontId="27" fillId="0" borderId="101" xfId="0" applyFont="1" applyBorder="1"/>
    <xf numFmtId="170" fontId="27" fillId="0" borderId="101" xfId="4" applyNumberFormat="1" applyFont="1" applyBorder="1"/>
    <xf numFmtId="0" fontId="27" fillId="0" borderId="101" xfId="0" applyFont="1" applyBorder="1" applyAlignment="1">
      <alignment wrapText="1"/>
    </xf>
    <xf numFmtId="0" fontId="27" fillId="0" borderId="102" xfId="0" applyFont="1" applyBorder="1"/>
    <xf numFmtId="170" fontId="27" fillId="0" borderId="102" xfId="4" applyNumberFormat="1" applyFont="1" applyBorder="1"/>
    <xf numFmtId="0" fontId="27" fillId="0" borderId="102" xfId="0" applyFont="1" applyBorder="1" applyAlignment="1">
      <alignment wrapText="1"/>
    </xf>
    <xf numFmtId="0" fontId="27" fillId="0" borderId="103" xfId="0" applyFont="1" applyBorder="1"/>
    <xf numFmtId="170" fontId="0" fillId="0" borderId="103" xfId="4" applyNumberFormat="1" applyFont="1" applyBorder="1"/>
    <xf numFmtId="170" fontId="0" fillId="0" borderId="11" xfId="4" applyNumberFormat="1" applyFont="1" applyBorder="1"/>
    <xf numFmtId="9" fontId="0" fillId="0" borderId="11" xfId="1" applyFont="1" applyBorder="1"/>
    <xf numFmtId="170" fontId="0" fillId="0" borderId="103" xfId="4" applyNumberFormat="1" applyFont="1" applyBorder="1" applyAlignment="1">
      <alignment wrapText="1"/>
    </xf>
    <xf numFmtId="0" fontId="27" fillId="0" borderId="11" xfId="0" applyFont="1" applyBorder="1"/>
    <xf numFmtId="170" fontId="0" fillId="0" borderId="11" xfId="4" applyNumberFormat="1" applyFont="1" applyBorder="1" applyAlignment="1">
      <alignment wrapText="1"/>
    </xf>
    <xf numFmtId="0" fontId="27" fillId="0" borderId="11" xfId="0" applyFont="1" applyBorder="1" applyAlignment="1">
      <alignment vertical="center"/>
    </xf>
    <xf numFmtId="170" fontId="0" fillId="0" borderId="11" xfId="4" applyNumberFormat="1" applyFont="1" applyBorder="1" applyAlignment="1">
      <alignment vertical="center"/>
    </xf>
    <xf numFmtId="170" fontId="0" fillId="0" borderId="11" xfId="4" applyNumberFormat="1" applyFont="1" applyBorder="1" applyAlignment="1">
      <alignment vertical="center" wrapText="1"/>
    </xf>
    <xf numFmtId="170" fontId="23" fillId="0" borderId="0" xfId="4" applyNumberFormat="1" applyFont="1"/>
    <xf numFmtId="0" fontId="0" fillId="0" borderId="11" xfId="0" applyBorder="1"/>
    <xf numFmtId="0" fontId="27" fillId="0" borderId="104" xfId="0" applyFont="1" applyBorder="1"/>
    <xf numFmtId="170" fontId="0" fillId="0" borderId="104" xfId="4" applyNumberFormat="1" applyFont="1" applyBorder="1"/>
    <xf numFmtId="9" fontId="0" fillId="0" borderId="104" xfId="1" applyFont="1" applyBorder="1"/>
    <xf numFmtId="170" fontId="0" fillId="0" borderId="104" xfId="4" applyNumberFormat="1" applyFont="1" applyBorder="1" applyAlignment="1">
      <alignment wrapText="1"/>
    </xf>
    <xf numFmtId="170" fontId="0" fillId="0" borderId="0" xfId="0" applyNumberFormat="1"/>
    <xf numFmtId="0" fontId="27" fillId="0" borderId="105" xfId="0" applyFont="1" applyBorder="1"/>
    <xf numFmtId="170" fontId="27" fillId="0" borderId="104" xfId="4" applyNumberFormat="1" applyFont="1" applyBorder="1"/>
    <xf numFmtId="9" fontId="27" fillId="0" borderId="104" xfId="1" applyFont="1" applyBorder="1"/>
    <xf numFmtId="170" fontId="29" fillId="0" borderId="0" xfId="4" applyNumberFormat="1" applyFont="1"/>
    <xf numFmtId="170" fontId="0" fillId="0" borderId="0" xfId="4" applyNumberFormat="1" applyFont="1" applyAlignment="1">
      <alignment wrapText="1"/>
    </xf>
    <xf numFmtId="0" fontId="25" fillId="0" borderId="104" xfId="0" applyFont="1" applyBorder="1"/>
    <xf numFmtId="171" fontId="27" fillId="0" borderId="104" xfId="3" applyNumberFormat="1" applyFont="1" applyBorder="1"/>
    <xf numFmtId="0" fontId="27" fillId="0" borderId="104" xfId="0" applyFont="1" applyBorder="1" applyAlignment="1">
      <alignment wrapText="1"/>
    </xf>
    <xf numFmtId="0" fontId="25" fillId="0" borderId="101" xfId="0" applyFont="1" applyBorder="1"/>
    <xf numFmtId="171" fontId="0" fillId="0" borderId="101" xfId="3" applyNumberFormat="1" applyFont="1" applyBorder="1"/>
    <xf numFmtId="170" fontId="0" fillId="0" borderId="101" xfId="0" applyNumberFormat="1" applyBorder="1"/>
    <xf numFmtId="170" fontId="0" fillId="0" borderId="101" xfId="4" applyNumberFormat="1" applyFont="1" applyBorder="1"/>
    <xf numFmtId="0" fontId="0" fillId="0" borderId="101" xfId="0" applyBorder="1"/>
    <xf numFmtId="0" fontId="0" fillId="0" borderId="101" xfId="0" applyBorder="1" applyAlignment="1">
      <alignment wrapText="1"/>
    </xf>
    <xf numFmtId="171" fontId="27" fillId="0" borderId="104" xfId="0" applyNumberFormat="1" applyFont="1" applyBorder="1"/>
    <xf numFmtId="44" fontId="0" fillId="0" borderId="104" xfId="3" applyFont="1" applyBorder="1"/>
    <xf numFmtId="0" fontId="0" fillId="0" borderId="104" xfId="0" applyBorder="1"/>
    <xf numFmtId="167" fontId="0" fillId="0" borderId="104" xfId="3" applyNumberFormat="1" applyFont="1" applyBorder="1"/>
    <xf numFmtId="0" fontId="0" fillId="0" borderId="104" xfId="0" applyBorder="1" applyAlignment="1">
      <alignment wrapText="1"/>
    </xf>
    <xf numFmtId="0" fontId="25" fillId="0" borderId="106" xfId="0" applyFont="1" applyBorder="1"/>
    <xf numFmtId="170" fontId="0" fillId="0" borderId="107" xfId="4" applyNumberFormat="1" applyFont="1" applyBorder="1"/>
    <xf numFmtId="170" fontId="0" fillId="0" borderId="83" xfId="4" applyNumberFormat="1" applyFont="1" applyBorder="1"/>
    <xf numFmtId="9" fontId="0" fillId="0" borderId="107" xfId="1" applyFont="1" applyBorder="1"/>
    <xf numFmtId="0" fontId="0" fillId="0" borderId="108" xfId="0" applyBorder="1" applyAlignment="1">
      <alignment wrapText="1"/>
    </xf>
    <xf numFmtId="0" fontId="25" fillId="0" borderId="109" xfId="0" applyFont="1" applyBorder="1"/>
    <xf numFmtId="170" fontId="0" fillId="0" borderId="35" xfId="4" applyNumberFormat="1" applyFont="1" applyBorder="1"/>
    <xf numFmtId="9" fontId="0" fillId="0" borderId="35" xfId="1" applyFont="1" applyBorder="1"/>
    <xf numFmtId="0" fontId="0" fillId="0" borderId="110" xfId="0" applyBorder="1" applyAlignment="1">
      <alignment wrapText="1"/>
    </xf>
    <xf numFmtId="0" fontId="0" fillId="0" borderId="56" xfId="0" applyBorder="1" applyAlignment="1">
      <alignment wrapText="1"/>
    </xf>
    <xf numFmtId="170" fontId="0" fillId="21" borderId="35" xfId="4" applyNumberFormat="1" applyFont="1" applyFill="1" applyBorder="1"/>
    <xf numFmtId="0" fontId="25" fillId="0" borderId="111" xfId="0" applyFont="1" applyBorder="1"/>
    <xf numFmtId="170" fontId="0" fillId="0" borderId="37" xfId="4" applyNumberFormat="1" applyFont="1" applyBorder="1"/>
    <xf numFmtId="0" fontId="0" fillId="0" borderId="112" xfId="0" applyBorder="1" applyAlignment="1">
      <alignment wrapText="1"/>
    </xf>
    <xf numFmtId="170" fontId="0" fillId="21" borderId="37" xfId="4" applyNumberFormat="1" applyFont="1" applyFill="1" applyBorder="1"/>
    <xf numFmtId="9" fontId="0" fillId="0" borderId="37" xfId="1" applyFont="1" applyBorder="1"/>
    <xf numFmtId="0" fontId="25" fillId="0" borderId="113" xfId="0" applyFont="1" applyBorder="1"/>
    <xf numFmtId="170" fontId="0" fillId="0" borderId="90" xfId="4" applyNumberFormat="1" applyFont="1" applyBorder="1"/>
    <xf numFmtId="170" fontId="0" fillId="21" borderId="90" xfId="4" applyNumberFormat="1" applyFont="1" applyFill="1" applyBorder="1"/>
    <xf numFmtId="9" fontId="0" fillId="0" borderId="90" xfId="1" applyFont="1" applyBorder="1"/>
    <xf numFmtId="0" fontId="0" fillId="0" borderId="114" xfId="0" applyBorder="1" applyAlignment="1">
      <alignment wrapText="1"/>
    </xf>
    <xf numFmtId="0" fontId="31" fillId="0" borderId="115" xfId="0" applyFont="1" applyBorder="1"/>
    <xf numFmtId="170" fontId="33" fillId="0" borderId="91" xfId="4" applyNumberFormat="1" applyFont="1" applyBorder="1"/>
    <xf numFmtId="170" fontId="33" fillId="0" borderId="116" xfId="4" applyNumberFormat="1" applyFont="1" applyBorder="1"/>
    <xf numFmtId="0" fontId="0" fillId="0" borderId="117" xfId="0" applyBorder="1" applyAlignment="1">
      <alignment wrapText="1"/>
    </xf>
    <xf numFmtId="170" fontId="0" fillId="0" borderId="118" xfId="4" applyNumberFormat="1" applyFont="1" applyBorder="1"/>
    <xf numFmtId="44" fontId="0" fillId="0" borderId="50" xfId="3" applyFont="1" applyBorder="1"/>
    <xf numFmtId="0" fontId="34" fillId="0" borderId="113" xfId="0" applyFont="1" applyBorder="1"/>
    <xf numFmtId="170" fontId="35" fillId="0" borderId="90" xfId="4" applyNumberFormat="1" applyFont="1" applyBorder="1"/>
    <xf numFmtId="170" fontId="35" fillId="0" borderId="119" xfId="4" applyNumberFormat="1" applyFont="1" applyBorder="1"/>
    <xf numFmtId="0" fontId="35" fillId="0" borderId="114" xfId="0" applyFont="1" applyBorder="1" applyAlignment="1">
      <alignment wrapText="1"/>
    </xf>
    <xf numFmtId="170" fontId="0" fillId="0" borderId="48" xfId="0" applyNumberFormat="1" applyBorder="1"/>
    <xf numFmtId="9" fontId="11" fillId="0" borderId="0" xfId="1" applyBorder="1"/>
    <xf numFmtId="170" fontId="0" fillId="0" borderId="0" xfId="4" applyNumberFormat="1" applyFont="1" applyBorder="1"/>
    <xf numFmtId="43" fontId="0" fillId="0" borderId="0" xfId="4" applyFont="1" applyFill="1" applyBorder="1"/>
    <xf numFmtId="166" fontId="23" fillId="21" borderId="0" xfId="0" applyNumberFormat="1" applyFont="1" applyFill="1"/>
    <xf numFmtId="43" fontId="0" fillId="0" borderId="0" xfId="4" applyFont="1" applyBorder="1"/>
    <xf numFmtId="2" fontId="13" fillId="0" borderId="20" xfId="0" applyNumberFormat="1" applyFont="1" applyBorder="1" applyAlignment="1">
      <alignment vertical="center"/>
    </xf>
    <xf numFmtId="1" fontId="5" fillId="0" borderId="78" xfId="0" applyNumberFormat="1" applyFont="1" applyBorder="1" applyAlignment="1">
      <alignment horizontal="left"/>
    </xf>
    <xf numFmtId="1" fontId="1" fillId="0" borderId="24" xfId="0" applyNumberFormat="1" applyFont="1" applyBorder="1" applyAlignment="1">
      <alignment horizontal="left"/>
    </xf>
    <xf numFmtId="1" fontId="1" fillId="0" borderId="20" xfId="0" applyNumberFormat="1" applyFont="1" applyBorder="1" applyAlignment="1">
      <alignment horizontal="left"/>
    </xf>
    <xf numFmtId="1" fontId="5" fillId="4" borderId="35" xfId="0" applyNumberFormat="1" applyFont="1" applyFill="1" applyBorder="1" applyAlignment="1">
      <alignment horizontal="left" vertical="center"/>
    </xf>
    <xf numFmtId="1" fontId="5" fillId="0" borderId="59" xfId="0" applyNumberFormat="1" applyFont="1" applyBorder="1" applyAlignment="1">
      <alignment horizontal="left" vertical="center"/>
    </xf>
    <xf numFmtId="1" fontId="5" fillId="9" borderId="43" xfId="0" applyNumberFormat="1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" fontId="3" fillId="0" borderId="0" xfId="0" applyNumberFormat="1" applyFont="1"/>
    <xf numFmtId="168" fontId="10" fillId="0" borderId="0" xfId="3" applyNumberFormat="1" applyFont="1" applyAlignment="1">
      <alignment horizontal="center"/>
    </xf>
    <xf numFmtId="168" fontId="4" fillId="0" borderId="4" xfId="3" applyNumberFormat="1" applyFont="1" applyBorder="1" applyAlignment="1">
      <alignment horizontal="center" vertical="center" wrapText="1"/>
    </xf>
    <xf numFmtId="168" fontId="5" fillId="0" borderId="77" xfId="3" applyNumberFormat="1" applyFont="1" applyBorder="1" applyAlignment="1">
      <alignment horizontal="center"/>
    </xf>
    <xf numFmtId="168" fontId="5" fillId="4" borderId="51" xfId="3" applyNumberFormat="1" applyFont="1" applyFill="1" applyBorder="1" applyAlignment="1">
      <alignment horizontal="center" vertical="center"/>
    </xf>
    <xf numFmtId="168" fontId="5" fillId="0" borderId="40" xfId="3" applyNumberFormat="1" applyFont="1" applyBorder="1" applyAlignment="1">
      <alignment horizontal="center" vertical="center"/>
    </xf>
    <xf numFmtId="168" fontId="5" fillId="9" borderId="42" xfId="3" applyNumberFormat="1" applyFont="1" applyFill="1" applyBorder="1" applyAlignment="1">
      <alignment horizontal="center" vertical="center"/>
    </xf>
    <xf numFmtId="168" fontId="5" fillId="0" borderId="0" xfId="3" applyNumberFormat="1" applyFont="1" applyAlignment="1">
      <alignment horizontal="center"/>
    </xf>
    <xf numFmtId="168" fontId="9" fillId="0" borderId="0" xfId="3" applyNumberFormat="1" applyFont="1" applyAlignment="1">
      <alignment horizontal="center"/>
    </xf>
    <xf numFmtId="168" fontId="1" fillId="0" borderId="0" xfId="3" applyNumberFormat="1" applyFont="1" applyAlignment="1">
      <alignment horizontal="center"/>
    </xf>
    <xf numFmtId="168" fontId="2" fillId="0" borderId="0" xfId="3" applyNumberFormat="1" applyFont="1" applyAlignment="1">
      <alignment vertical="center"/>
    </xf>
    <xf numFmtId="168" fontId="7" fillId="0" borderId="0" xfId="3" applyNumberFormat="1" applyFont="1" applyAlignment="1">
      <alignment horizontal="center" vertical="center"/>
    </xf>
    <xf numFmtId="16" fontId="8" fillId="0" borderId="74" xfId="0" applyNumberFormat="1" applyFont="1" applyBorder="1" applyAlignment="1">
      <alignment horizontal="right"/>
    </xf>
    <xf numFmtId="2" fontId="8" fillId="0" borderId="21" xfId="0" applyNumberFormat="1" applyFont="1" applyBorder="1" applyAlignment="1">
      <alignment vertical="center"/>
    </xf>
    <xf numFmtId="1" fontId="8" fillId="0" borderId="24" xfId="0" applyNumberFormat="1" applyFont="1" applyBorder="1" applyAlignment="1">
      <alignment horizontal="left"/>
    </xf>
    <xf numFmtId="1" fontId="8" fillId="0" borderId="21" xfId="0" applyNumberFormat="1" applyFont="1" applyBorder="1" applyAlignment="1">
      <alignment horizontal="center"/>
    </xf>
    <xf numFmtId="168" fontId="8" fillId="0" borderId="21" xfId="3" applyNumberFormat="1" applyFont="1" applyBorder="1" applyAlignment="1">
      <alignment horizontal="center"/>
    </xf>
    <xf numFmtId="16" fontId="8" fillId="0" borderId="21" xfId="0" applyNumberFormat="1" applyFont="1" applyBorder="1" applyAlignment="1">
      <alignment horizontal="center"/>
    </xf>
    <xf numFmtId="2" fontId="8" fillId="16" borderId="21" xfId="0" applyNumberFormat="1" applyFont="1" applyFill="1" applyBorder="1" applyAlignment="1">
      <alignment horizontal="left" vertical="center"/>
    </xf>
    <xf numFmtId="2" fontId="8" fillId="0" borderId="21" xfId="0" applyNumberFormat="1" applyFont="1" applyBorder="1" applyAlignment="1">
      <alignment horizontal="left" vertical="center"/>
    </xf>
    <xf numFmtId="1" fontId="8" fillId="0" borderId="20" xfId="0" applyNumberFormat="1" applyFont="1" applyBorder="1" applyAlignment="1">
      <alignment horizontal="left"/>
    </xf>
    <xf numFmtId="2" fontId="8" fillId="0" borderId="21" xfId="0" applyNumberFormat="1" applyFont="1" applyBorder="1"/>
    <xf numFmtId="1" fontId="8" fillId="0" borderId="20" xfId="0" quotePrefix="1" applyNumberFormat="1" applyFont="1" applyBorder="1" applyAlignment="1">
      <alignment horizontal="left"/>
    </xf>
    <xf numFmtId="16" fontId="8" fillId="0" borderId="18" xfId="0" applyNumberFormat="1" applyFont="1" applyBorder="1" applyAlignment="1">
      <alignment horizontal="right"/>
    </xf>
    <xf numFmtId="164" fontId="1" fillId="0" borderId="23" xfId="0" applyNumberFormat="1" applyFont="1" applyBorder="1"/>
    <xf numFmtId="164" fontId="1" fillId="0" borderId="27" xfId="0" applyNumberFormat="1" applyFont="1" applyBorder="1"/>
    <xf numFmtId="164" fontId="1" fillId="0" borderId="20" xfId="0" applyNumberFormat="1" applyFont="1" applyBorder="1"/>
    <xf numFmtId="164" fontId="1" fillId="0" borderId="86" xfId="0" applyNumberFormat="1" applyFont="1" applyBorder="1"/>
    <xf numFmtId="164" fontId="1" fillId="0" borderId="32" xfId="0" applyNumberFormat="1" applyFont="1" applyBorder="1"/>
    <xf numFmtId="164" fontId="7" fillId="0" borderId="32" xfId="0" applyNumberFormat="1" applyFont="1" applyBorder="1"/>
    <xf numFmtId="164" fontId="7" fillId="0" borderId="20" xfId="0" applyNumberFormat="1" applyFont="1" applyBorder="1"/>
    <xf numFmtId="164" fontId="7" fillId="0" borderId="86" xfId="0" applyNumberFormat="1" applyFont="1" applyBorder="1"/>
    <xf numFmtId="164" fontId="7" fillId="0" borderId="23" xfId="0" applyNumberFormat="1" applyFont="1" applyBorder="1"/>
    <xf numFmtId="164" fontId="7" fillId="0" borderId="27" xfId="0" applyNumberFormat="1" applyFont="1" applyBorder="1"/>
    <xf numFmtId="169" fontId="23" fillId="0" borderId="0" xfId="4" applyNumberFormat="1" applyFont="1" applyFill="1"/>
    <xf numFmtId="169" fontId="23" fillId="0" borderId="99" xfId="4" applyNumberFormat="1" applyFont="1" applyFill="1" applyBorder="1"/>
    <xf numFmtId="167" fontId="25" fillId="0" borderId="0" xfId="0" applyNumberFormat="1" applyFont="1"/>
    <xf numFmtId="9" fontId="36" fillId="0" borderId="0" xfId="1" applyFont="1"/>
    <xf numFmtId="16" fontId="1" fillId="0" borderId="18" xfId="0" applyNumberFormat="1" applyFont="1" applyBorder="1" applyAlignment="1">
      <alignment horizontal="right" wrapText="1"/>
    </xf>
    <xf numFmtId="164" fontId="5" fillId="0" borderId="81" xfId="0" applyNumberFormat="1" applyFont="1" applyBorder="1"/>
    <xf numFmtId="164" fontId="5" fillId="4" borderId="55" xfId="0" applyNumberFormat="1" applyFont="1" applyFill="1" applyBorder="1" applyAlignment="1">
      <alignment vertical="center"/>
    </xf>
    <xf numFmtId="164" fontId="5" fillId="6" borderId="57" xfId="0" applyNumberFormat="1" applyFont="1" applyFill="1" applyBorder="1" applyAlignment="1">
      <alignment vertical="center"/>
    </xf>
    <xf numFmtId="164" fontId="5" fillId="0" borderId="79" xfId="0" applyNumberFormat="1" applyFont="1" applyBorder="1"/>
    <xf numFmtId="164" fontId="5" fillId="0" borderId="80" xfId="0" applyNumberFormat="1" applyFont="1" applyBorder="1"/>
    <xf numFmtId="164" fontId="5" fillId="0" borderId="78" xfId="0" applyNumberFormat="1" applyFont="1" applyBorder="1"/>
    <xf numFmtId="164" fontId="5" fillId="0" borderId="77" xfId="0" applyNumberFormat="1" applyFont="1" applyBorder="1"/>
    <xf numFmtId="164" fontId="5" fillId="15" borderId="77" xfId="0" applyNumberFormat="1" applyFont="1" applyFill="1" applyBorder="1"/>
    <xf numFmtId="164" fontId="5" fillId="15" borderId="78" xfId="0" applyNumberFormat="1" applyFont="1" applyFill="1" applyBorder="1"/>
    <xf numFmtId="164" fontId="1" fillId="0" borderId="29" xfId="0" applyNumberFormat="1" applyFont="1" applyBorder="1"/>
    <xf numFmtId="164" fontId="1" fillId="0" borderId="30" xfId="0" applyNumberFormat="1" applyFont="1" applyBorder="1"/>
    <xf numFmtId="164" fontId="1" fillId="0" borderId="21" xfId="0" applyNumberFormat="1" applyFont="1" applyBorder="1"/>
    <xf numFmtId="164" fontId="5" fillId="0" borderId="27" xfId="0" applyNumberFormat="1" applyFont="1" applyBorder="1"/>
    <xf numFmtId="164" fontId="5" fillId="0" borderId="20" xfId="0" applyNumberFormat="1" applyFont="1" applyBorder="1"/>
    <xf numFmtId="164" fontId="5" fillId="0" borderId="86" xfId="0" applyNumberFormat="1" applyFont="1" applyBorder="1"/>
    <xf numFmtId="164" fontId="7" fillId="0" borderId="29" xfId="0" applyNumberFormat="1" applyFont="1" applyBorder="1"/>
    <xf numFmtId="164" fontId="7" fillId="0" borderId="30" xfId="0" applyNumberFormat="1" applyFont="1" applyBorder="1"/>
    <xf numFmtId="164" fontId="7" fillId="0" borderId="21" xfId="0" applyNumberFormat="1" applyFont="1" applyBorder="1"/>
    <xf numFmtId="164" fontId="7" fillId="0" borderId="29" xfId="0" applyNumberFormat="1" applyFont="1" applyBorder="1" applyAlignment="1">
      <alignment horizontal="right"/>
    </xf>
    <xf numFmtId="164" fontId="5" fillId="5" borderId="54" xfId="0" applyNumberFormat="1" applyFont="1" applyFill="1" applyBorder="1" applyAlignment="1">
      <alignment vertical="center"/>
    </xf>
    <xf numFmtId="164" fontId="5" fillId="5" borderId="35" xfId="0" applyNumberFormat="1" applyFont="1" applyFill="1" applyBorder="1" applyAlignment="1">
      <alignment vertical="center"/>
    </xf>
    <xf numFmtId="164" fontId="5" fillId="5" borderId="68" xfId="0" applyNumberFormat="1" applyFont="1" applyFill="1" applyBorder="1" applyAlignment="1">
      <alignment vertical="center"/>
    </xf>
    <xf numFmtId="164" fontId="5" fillId="0" borderId="57" xfId="0" applyNumberFormat="1" applyFont="1" applyBorder="1" applyAlignment="1">
      <alignment vertical="center"/>
    </xf>
    <xf numFmtId="164" fontId="5" fillId="6" borderId="59" xfId="0" applyNumberFormat="1" applyFont="1" applyFill="1" applyBorder="1" applyAlignment="1">
      <alignment vertical="center"/>
    </xf>
    <xf numFmtId="164" fontId="5" fillId="9" borderId="44" xfId="0" applyNumberFormat="1" applyFont="1" applyFill="1" applyBorder="1" applyAlignment="1">
      <alignment vertical="center"/>
    </xf>
    <xf numFmtId="164" fontId="5" fillId="9" borderId="45" xfId="0" applyNumberFormat="1" applyFont="1" applyFill="1" applyBorder="1" applyAlignment="1">
      <alignment vertical="center"/>
    </xf>
    <xf numFmtId="164" fontId="5" fillId="9" borderId="43" xfId="0" applyNumberFormat="1" applyFont="1" applyFill="1" applyBorder="1" applyAlignment="1">
      <alignment vertical="center"/>
    </xf>
    <xf numFmtId="164" fontId="5" fillId="9" borderId="42" xfId="0" applyNumberFormat="1" applyFont="1" applyFill="1" applyBorder="1" applyAlignment="1">
      <alignment vertical="center"/>
    </xf>
    <xf numFmtId="164" fontId="5" fillId="18" borderId="46" xfId="0" applyNumberFormat="1" applyFont="1" applyFill="1" applyBorder="1" applyAlignment="1">
      <alignment vertical="center"/>
    </xf>
    <xf numFmtId="164" fontId="5" fillId="9" borderId="87" xfId="0" applyNumberFormat="1" applyFont="1" applyFill="1" applyBorder="1" applyAlignment="1">
      <alignment vertical="center"/>
    </xf>
    <xf numFmtId="164" fontId="5" fillId="0" borderId="0" xfId="0" applyNumberFormat="1" applyFont="1"/>
    <xf numFmtId="164" fontId="5" fillId="0" borderId="0" xfId="3" applyNumberFormat="1" applyFont="1"/>
    <xf numFmtId="164" fontId="5" fillId="0" borderId="0" xfId="2" applyNumberFormat="1" applyFont="1"/>
    <xf numFmtId="164" fontId="5" fillId="16" borderId="0" xfId="3" applyNumberFormat="1" applyFont="1" applyFill="1"/>
    <xf numFmtId="164" fontId="2" fillId="0" borderId="0" xfId="0" applyNumberFormat="1" applyFont="1"/>
    <xf numFmtId="164" fontId="2" fillId="12" borderId="0" xfId="0" applyNumberFormat="1" applyFont="1" applyFill="1"/>
    <xf numFmtId="164" fontId="5" fillId="0" borderId="33" xfId="3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33" xfId="3" applyNumberFormat="1" applyFont="1" applyBorder="1"/>
    <xf numFmtId="164" fontId="3" fillId="0" borderId="0" xfId="3" applyNumberFormat="1" applyFont="1"/>
    <xf numFmtId="164" fontId="28" fillId="0" borderId="0" xfId="0" applyNumberFormat="1" applyFont="1" applyAlignment="1">
      <alignment vertical="center" wrapText="1"/>
    </xf>
    <xf numFmtId="164" fontId="2" fillId="0" borderId="0" xfId="3" applyNumberFormat="1" applyFont="1"/>
    <xf numFmtId="164" fontId="2" fillId="12" borderId="0" xfId="3" applyNumberFormat="1" applyFont="1" applyFill="1"/>
    <xf numFmtId="164" fontId="3" fillId="0" borderId="48" xfId="3" applyNumberFormat="1" applyFont="1" applyBorder="1"/>
    <xf numFmtId="164" fontId="3" fillId="0" borderId="0" xfId="0" applyNumberFormat="1" applyFont="1"/>
    <xf numFmtId="164" fontId="3" fillId="20" borderId="0" xfId="0" applyNumberFormat="1" applyFont="1" applyFill="1"/>
    <xf numFmtId="164" fontId="2" fillId="0" borderId="0" xfId="4" applyNumberFormat="1" applyFont="1"/>
    <xf numFmtId="164" fontId="2" fillId="0" borderId="0" xfId="4" applyNumberFormat="1" applyFont="1" applyFill="1" applyBorder="1"/>
    <xf numFmtId="164" fontId="2" fillId="0" borderId="0" xfId="0" applyNumberFormat="1" applyFont="1" applyAlignment="1">
      <alignment horizontal="left"/>
    </xf>
    <xf numFmtId="164" fontId="3" fillId="10" borderId="0" xfId="3" applyNumberFormat="1" applyFont="1" applyFill="1"/>
    <xf numFmtId="164" fontId="1" fillId="12" borderId="23" xfId="0" applyNumberFormat="1" applyFont="1" applyFill="1" applyBorder="1"/>
    <xf numFmtId="164" fontId="7" fillId="12" borderId="23" xfId="0" applyNumberFormat="1" applyFont="1" applyFill="1" applyBorder="1"/>
    <xf numFmtId="16" fontId="1" fillId="0" borderId="74" xfId="0" applyNumberFormat="1" applyFont="1" applyBorder="1" applyAlignment="1">
      <alignment horizontal="right" wrapText="1"/>
    </xf>
    <xf numFmtId="168" fontId="0" fillId="0" borderId="0" xfId="0" applyNumberFormat="1"/>
    <xf numFmtId="43" fontId="0" fillId="0" borderId="0" xfId="4" applyFont="1"/>
    <xf numFmtId="164" fontId="7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172" fontId="23" fillId="0" borderId="0" xfId="0" applyNumberFormat="1" applyFont="1"/>
    <xf numFmtId="166" fontId="23" fillId="0" borderId="0" xfId="0" applyNumberFormat="1" applyFont="1" applyAlignment="1">
      <alignment wrapText="1"/>
    </xf>
    <xf numFmtId="43" fontId="0" fillId="0" borderId="0" xfId="4" applyFont="1" applyFill="1" applyBorder="1" applyAlignment="1">
      <alignment wrapText="1"/>
    </xf>
    <xf numFmtId="173" fontId="0" fillId="0" borderId="0" xfId="0" applyNumberFormat="1"/>
    <xf numFmtId="2" fontId="5" fillId="15" borderId="11" xfId="0" applyNumberFormat="1" applyFont="1" applyFill="1" applyBorder="1"/>
    <xf numFmtId="1" fontId="1" fillId="0" borderId="86" xfId="0" quotePrefix="1" applyNumberFormat="1" applyFont="1" applyBorder="1" applyAlignment="1">
      <alignment horizontal="left"/>
    </xf>
    <xf numFmtId="168" fontId="7" fillId="0" borderId="21" xfId="0" applyNumberFormat="1" applyFont="1" applyBorder="1" applyAlignment="1">
      <alignment horizontal="center"/>
    </xf>
    <xf numFmtId="0" fontId="1" fillId="0" borderId="20" xfId="0" quotePrefix="1" applyFont="1" applyBorder="1" applyAlignment="1">
      <alignment horizontal="center"/>
    </xf>
    <xf numFmtId="1" fontId="7" fillId="0" borderId="20" xfId="0" quotePrefix="1" applyNumberFormat="1" applyFont="1" applyBorder="1" applyAlignment="1">
      <alignment horizontal="center"/>
    </xf>
    <xf numFmtId="167" fontId="25" fillId="0" borderId="120" xfId="0" applyNumberFormat="1" applyFont="1" applyBorder="1"/>
    <xf numFmtId="164" fontId="5" fillId="15" borderId="79" xfId="0" applyNumberFormat="1" applyFont="1" applyFill="1" applyBorder="1"/>
    <xf numFmtId="164" fontId="1" fillId="0" borderId="52" xfId="0" applyNumberFormat="1" applyFont="1" applyBorder="1"/>
    <xf numFmtId="164" fontId="1" fillId="0" borderId="31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164" fontId="1" fillId="0" borderId="26" xfId="0" applyNumberFormat="1" applyFont="1" applyBorder="1"/>
    <xf numFmtId="164" fontId="1" fillId="0" borderId="75" xfId="0" applyNumberFormat="1" applyFont="1" applyBorder="1"/>
    <xf numFmtId="164" fontId="1" fillId="0" borderId="88" xfId="0" applyNumberFormat="1" applyFont="1" applyBorder="1"/>
    <xf numFmtId="164" fontId="1" fillId="0" borderId="28" xfId="0" applyNumberFormat="1" applyFont="1" applyBorder="1"/>
    <xf numFmtId="164" fontId="2" fillId="0" borderId="27" xfId="0" applyNumberFormat="1" applyFont="1" applyBorder="1"/>
    <xf numFmtId="164" fontId="9" fillId="0" borderId="0" xfId="0" applyNumberFormat="1" applyFont="1" applyAlignment="1">
      <alignment horizontal="center"/>
    </xf>
    <xf numFmtId="164" fontId="5" fillId="0" borderId="0" xfId="2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5" fillId="0" borderId="33" xfId="0" applyNumberFormat="1" applyFont="1" applyBorder="1"/>
    <xf numFmtId="164" fontId="2" fillId="0" borderId="33" xfId="0" applyNumberFormat="1" applyFont="1" applyBorder="1"/>
    <xf numFmtId="164" fontId="2" fillId="0" borderId="0" xfId="0" applyNumberFormat="1" applyFont="1" applyAlignment="1">
      <alignment wrapText="1"/>
    </xf>
    <xf numFmtId="164" fontId="3" fillId="0" borderId="48" xfId="0" applyNumberFormat="1" applyFont="1" applyBorder="1"/>
    <xf numFmtId="168" fontId="5" fillId="0" borderId="0" xfId="0" applyNumberFormat="1" applyFont="1" applyAlignment="1">
      <alignment vertical="center"/>
    </xf>
    <xf numFmtId="168" fontId="3" fillId="0" borderId="33" xfId="0" applyNumberFormat="1" applyFont="1" applyBorder="1"/>
    <xf numFmtId="168" fontId="1" fillId="0" borderId="33" xfId="0" applyNumberFormat="1" applyFont="1" applyBorder="1"/>
    <xf numFmtId="168" fontId="1" fillId="0" borderId="0" xfId="0" applyNumberFormat="1" applyFont="1"/>
    <xf numFmtId="168" fontId="2" fillId="0" borderId="48" xfId="0" applyNumberFormat="1" applyFont="1" applyBorder="1"/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 vertical="center" wrapText="1"/>
    </xf>
    <xf numFmtId="16" fontId="3" fillId="0" borderId="0" xfId="0" applyNumberFormat="1" applyFont="1"/>
    <xf numFmtId="0" fontId="0" fillId="0" borderId="0" xfId="0"/>
    <xf numFmtId="164" fontId="3" fillId="0" borderId="0" xfId="0" quotePrefix="1" applyNumberFormat="1" applyFont="1" applyAlignment="1">
      <alignment horizontal="center" wrapText="1"/>
    </xf>
    <xf numFmtId="2" fontId="5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31" fillId="0" borderId="100" xfId="0" applyFont="1" applyBorder="1" applyAlignment="1">
      <alignment wrapText="1"/>
    </xf>
    <xf numFmtId="0" fontId="32" fillId="0" borderId="102" xfId="0" applyFont="1" applyBorder="1" applyAlignment="1">
      <alignment wrapText="1"/>
    </xf>
  </cellXfs>
  <cellStyles count="5">
    <cellStyle name="Comma" xfId="4" builtinId="3"/>
    <cellStyle name="Currency" xfId="3" builtinId="4"/>
    <cellStyle name="Explanatory Text" xfId="2" builtinId="53" customBuiltin="1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E6B9B8"/>
      <rgbColor rgb="FF878787"/>
      <rgbColor rgb="FF9999FF"/>
      <rgbColor rgb="FFC0504D"/>
      <rgbColor rgb="FFF2DCDB"/>
      <rgbColor rgb="FFCCFFFF"/>
      <rgbColor rgb="FF660066"/>
      <rgbColor rgb="FFFF8080"/>
      <rgbColor rgb="FF0066CC"/>
      <rgbColor rgb="FFD9D9D9"/>
      <rgbColor rgb="FF000080"/>
      <rgbColor rgb="FFFF00FF"/>
      <rgbColor rgb="FFFFFF13"/>
      <rgbColor rgb="FF00FFFF"/>
      <rgbColor rgb="FF800080"/>
      <rgbColor rgb="FF800000"/>
      <rgbColor rgb="FF008080"/>
      <rgbColor rgb="FF0000FF"/>
      <rgbColor rgb="FF00CCFF"/>
      <rgbColor rgb="FFD7E4BD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79646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'Jan - March 2025'!$M$4:$AC$4</c:f>
              <c:strCache>
                <c:ptCount val="17"/>
                <c:pt idx="0">
                  <c:v>CLERK</c:v>
                </c:pt>
                <c:pt idx="1">
                  <c:v>ADMIN</c:v>
                </c:pt>
                <c:pt idx="2">
                  <c:v>GREENS</c:v>
                </c:pt>
                <c:pt idx="3">
                  <c:v>MAINTENANCE</c:v>
                </c:pt>
                <c:pt idx="4">
                  <c:v>BANK</c:v>
                </c:pt>
                <c:pt idx="5">
                  <c:v>AUDIT</c:v>
                </c:pt>
                <c:pt idx="6">
                  <c:v>INSURANCE</c:v>
                </c:pt>
                <c:pt idx="7">
                  <c:v>SUBSCRIPTIONS</c:v>
                </c:pt>
                <c:pt idx="8">
                  <c:v>IT</c:v>
                </c:pt>
                <c:pt idx="9">
                  <c:v>EVENTS</c:v>
                </c:pt>
                <c:pt idx="10">
                  <c:v>RBWM</c:v>
                </c:pt>
                <c:pt idx="11">
                  <c:v>CONSULTANCY</c:v>
                </c:pt>
                <c:pt idx="12">
                  <c:v>TRAINING</c:v>
                </c:pt>
                <c:pt idx="13">
                  <c:v>PROJECTS</c:v>
                </c:pt>
                <c:pt idx="14">
                  <c:v>OTHER</c:v>
                </c:pt>
                <c:pt idx="15">
                  <c:v>ONE OFF</c:v>
                </c:pt>
                <c:pt idx="16">
                  <c:v>Sec. 137</c:v>
                </c:pt>
              </c:strCache>
            </c:strRef>
          </c:cat>
          <c:val>
            <c:numRef>
              <c:f>'Jan - March 2025'!$M$32:$AC$32</c:f>
              <c:numCache>
                <c:formatCode>0.00</c:formatCode>
                <c:ptCount val="17"/>
                <c:pt idx="0">
                  <c:v>19982.510000000002</c:v>
                </c:pt>
                <c:pt idx="1">
                  <c:v>4875.0500000000011</c:v>
                </c:pt>
                <c:pt idx="2">
                  <c:v>13846.54</c:v>
                </c:pt>
                <c:pt idx="3">
                  <c:v>3100</c:v>
                </c:pt>
                <c:pt idx="4">
                  <c:v>71.400000000000006</c:v>
                </c:pt>
                <c:pt idx="5">
                  <c:v>635</c:v>
                </c:pt>
                <c:pt idx="6">
                  <c:v>790.17</c:v>
                </c:pt>
                <c:pt idx="7">
                  <c:v>1080.72</c:v>
                </c:pt>
                <c:pt idx="8">
                  <c:v>300</c:v>
                </c:pt>
                <c:pt idx="9">
                  <c:v>1777.42</c:v>
                </c:pt>
                <c:pt idx="10">
                  <c:v>3000</c:v>
                </c:pt>
                <c:pt idx="11">
                  <c:v>0</c:v>
                </c:pt>
                <c:pt idx="12">
                  <c:v>32.68</c:v>
                </c:pt>
                <c:pt idx="13">
                  <c:v>1567.21</c:v>
                </c:pt>
                <c:pt idx="14">
                  <c:v>219.89999999999998</c:v>
                </c:pt>
                <c:pt idx="15">
                  <c:v>2000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4-4AE9-A279-E63456ED4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920909886264221"/>
          <c:y val="3.048811606882473E-2"/>
          <c:w val="0.22412423447069116"/>
          <c:h val="0.948283027121609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2024-2025 Budgeted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2024-2025 Budget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DC-44EF-9CD8-84264BD819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DC-44EF-9CD8-84264BD81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DC-44EF-9CD8-84264BD81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DC-44EF-9CD8-84264BD819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DC-44EF-9CD8-84264BD819A9}"/>
              </c:ext>
            </c:extLst>
          </c:dPt>
          <c:cat>
            <c:strLit>
              <c:ptCount val="5"/>
              <c:pt idx="0">
                <c:v>Precept</c:v>
              </c:pt>
              <c:pt idx="1">
                <c:v>PCC Recharge</c:v>
              </c:pt>
              <c:pt idx="2">
                <c:v>SLA Greens</c:v>
              </c:pt>
              <c:pt idx="3">
                <c:v>Reserves</c:v>
              </c:pt>
              <c:pt idx="4">
                <c:v>Other</c:v>
              </c:pt>
            </c:strLit>
          </c:cat>
          <c:val>
            <c:numLit>
              <c:formatCode>General</c:formatCode>
              <c:ptCount val="5"/>
              <c:pt idx="0">
                <c:v>45560</c:v>
              </c:pt>
              <c:pt idx="1">
                <c:v>1322.5</c:v>
              </c:pt>
              <c:pt idx="2">
                <c:v>2364</c:v>
              </c:pt>
              <c:pt idx="3">
                <c:v>2436.4000000000015</c:v>
              </c:pt>
              <c:pt idx="4">
                <c:v>271.5</c:v>
              </c:pt>
            </c:numLit>
          </c:val>
          <c:extLst>
            <c:ext xmlns:c16="http://schemas.microsoft.com/office/drawing/2014/chart" uri="{C3380CC4-5D6E-409C-BE32-E72D297353CC}">
              <c16:uniqueId val="{0000000A-09DC-44EF-9CD8-84264BD8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2024-2025 Expenditure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2024-2025 Budget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92-4A9A-9FE8-5A46608839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92-4A9A-9FE8-5A46608839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92-4A9A-9FE8-5A46608839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92-4A9A-9FE8-5A46608839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92-4A9A-9FE8-5A4660883902}"/>
              </c:ext>
            </c:extLst>
          </c:dPt>
          <c:cat>
            <c:strLit>
              <c:ptCount val="5"/>
              <c:pt idx="0">
                <c:v>Total Personnel</c:v>
              </c:pt>
              <c:pt idx="1">
                <c:v>Total Admin</c:v>
              </c:pt>
              <c:pt idx="2">
                <c:v>Total Greens</c:v>
              </c:pt>
              <c:pt idx="3">
                <c:v>Total Insurance and subscription</c:v>
              </c:pt>
              <c:pt idx="4">
                <c:v>Other</c:v>
              </c:pt>
            </c:strLit>
          </c:cat>
          <c:val>
            <c:numLit>
              <c:formatCode>General</c:formatCode>
              <c:ptCount val="5"/>
              <c:pt idx="0">
                <c:v>19500</c:v>
              </c:pt>
              <c:pt idx="1">
                <c:v>5500</c:v>
              </c:pt>
              <c:pt idx="2">
                <c:v>14853</c:v>
              </c:pt>
              <c:pt idx="3">
                <c:v>1750</c:v>
              </c:pt>
              <c:pt idx="4">
                <c:v>10351.4</c:v>
              </c:pt>
            </c:numLit>
          </c:val>
          <c:extLst>
            <c:ext xmlns:c16="http://schemas.microsoft.com/office/drawing/2014/chart" uri="{C3380CC4-5D6E-409C-BE32-E72D297353CC}">
              <c16:uniqueId val="{0000000A-6D92-4A9A-9FE8-5A466088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428625</xdr:colOff>
      <xdr:row>54</xdr:row>
      <xdr:rowOff>14288</xdr:rowOff>
    </xdr:from>
    <xdr:to>
      <xdr:col>52</xdr:col>
      <xdr:colOff>28575</xdr:colOff>
      <xdr:row>69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78</xdr:row>
      <xdr:rowOff>23812</xdr:rowOff>
    </xdr:from>
    <xdr:to>
      <xdr:col>10</xdr:col>
      <xdr:colOff>28575</xdr:colOff>
      <xdr:row>92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0F6384-B0A8-4911-BC18-D5D830015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93</xdr:row>
      <xdr:rowOff>185737</xdr:rowOff>
    </xdr:from>
    <xdr:to>
      <xdr:col>10</xdr:col>
      <xdr:colOff>28575</xdr:colOff>
      <xdr:row>108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5BCAE0-90AE-4612-894B-2AB0D1C59BDC}"/>
            </a:ext>
            <a:ext uri="{147F2762-F138-4A5C-976F-8EAC2B608ADB}">
              <a16:predDERef xmlns:a16="http://schemas.microsoft.com/office/drawing/2014/main" pred="{2E0F6384-B0A8-4911-BC18-D5D830015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O52"/>
  <sheetViews>
    <sheetView tabSelected="1" zoomScale="80" zoomScaleNormal="80" workbookViewId="0">
      <pane ySplit="5" topLeftCell="A6" activePane="bottomLeft" state="frozen"/>
      <selection activeCell="F1" sqref="F1"/>
      <selection pane="bottomLeft" activeCell="D29" sqref="D29"/>
    </sheetView>
  </sheetViews>
  <sheetFormatPr defaultColWidth="9.140625" defaultRowHeight="15" x14ac:dyDescent="0.25"/>
  <cols>
    <col min="1" max="1" width="9.140625" style="1" customWidth="1"/>
    <col min="2" max="2" width="45.7109375" style="2" bestFit="1" customWidth="1"/>
    <col min="3" max="3" width="15.85546875" style="306" bestFit="1" customWidth="1"/>
    <col min="4" max="4" width="13.7109375" style="3" bestFit="1" customWidth="1"/>
    <col min="5" max="5" width="13" style="4" customWidth="1"/>
    <col min="6" max="6" width="8.28515625" style="1" customWidth="1"/>
    <col min="7" max="7" width="13.7109375" style="2" bestFit="1" customWidth="1"/>
    <col min="8" max="8" width="12.42578125" style="2" bestFit="1" customWidth="1"/>
    <col min="9" max="9" width="9.85546875" style="2" customWidth="1"/>
    <col min="10" max="10" width="9.28515625" style="2" bestFit="1" customWidth="1"/>
    <col min="11" max="11" width="8.7109375" style="2" customWidth="1"/>
    <col min="12" max="12" width="23.85546875" style="2" bestFit="1" customWidth="1"/>
    <col min="13" max="15" width="12.7109375" style="2" customWidth="1"/>
    <col min="16" max="16" width="14.7109375" style="2" customWidth="1"/>
    <col min="17" max="19" width="12.7109375" style="2" customWidth="1"/>
    <col min="20" max="20" width="17" style="2" customWidth="1"/>
    <col min="21" max="23" width="12.7109375" style="2" customWidth="1"/>
    <col min="24" max="24" width="15.5703125" style="2" customWidth="1"/>
    <col min="25" max="30" width="12.7109375" style="2" customWidth="1"/>
    <col min="31" max="31" width="13.85546875" style="83" bestFit="1" customWidth="1"/>
    <col min="32" max="32" width="11.28515625" style="5" customWidth="1"/>
    <col min="33" max="33" width="9.140625" style="5" customWidth="1"/>
    <col min="34" max="34" width="11.28515625" style="5" customWidth="1"/>
    <col min="35" max="1029" width="9.140625" style="5" customWidth="1"/>
  </cols>
  <sheetData>
    <row r="1" spans="1:1029" x14ac:dyDescent="0.25">
      <c r="B1" s="6" t="s">
        <v>0</v>
      </c>
    </row>
    <row r="2" spans="1:1029" x14ac:dyDescent="0.25">
      <c r="B2" s="6"/>
    </row>
    <row r="3" spans="1:1029" ht="15.75" thickBot="1" x14ac:dyDescent="0.3">
      <c r="B3" s="6"/>
      <c r="G3" s="7" t="s">
        <v>1</v>
      </c>
      <c r="H3" s="8"/>
      <c r="I3" s="8"/>
      <c r="J3" s="8"/>
      <c r="K3" s="8"/>
      <c r="L3" s="9" t="s">
        <v>2</v>
      </c>
      <c r="M3" s="203"/>
      <c r="N3" s="204" t="s">
        <v>3</v>
      </c>
      <c r="O3" s="204"/>
      <c r="P3" s="205"/>
      <c r="Q3" s="204"/>
      <c r="R3" s="206"/>
      <c r="S3" s="207"/>
      <c r="T3" s="207"/>
      <c r="U3" s="207"/>
      <c r="V3" s="207"/>
      <c r="W3" s="207" t="s">
        <v>4</v>
      </c>
      <c r="X3" s="207"/>
      <c r="Y3" s="208"/>
      <c r="Z3" s="209"/>
      <c r="AA3" s="210" t="s">
        <v>5</v>
      </c>
      <c r="AB3" s="210"/>
      <c r="AC3" s="211"/>
      <c r="AD3" s="87"/>
      <c r="AE3" s="87"/>
    </row>
    <row r="4" spans="1:1029" ht="31.5" thickTop="1" thickBot="1" x14ac:dyDescent="0.3">
      <c r="A4" s="10" t="s">
        <v>6</v>
      </c>
      <c r="B4" s="11" t="s">
        <v>7</v>
      </c>
      <c r="C4" s="307" t="s">
        <v>8</v>
      </c>
      <c r="D4" s="13" t="s">
        <v>9</v>
      </c>
      <c r="E4" s="14" t="s">
        <v>10</v>
      </c>
      <c r="F4" s="15" t="s">
        <v>11</v>
      </c>
      <c r="G4" s="214" t="s">
        <v>12</v>
      </c>
      <c r="H4" s="17" t="s">
        <v>13</v>
      </c>
      <c r="I4" s="18" t="s">
        <v>14</v>
      </c>
      <c r="J4" s="18" t="s">
        <v>15</v>
      </c>
      <c r="K4" s="19" t="s">
        <v>16</v>
      </c>
      <c r="L4" s="20" t="s">
        <v>17</v>
      </c>
      <c r="M4" s="201" t="s">
        <v>18</v>
      </c>
      <c r="N4" s="202" t="s">
        <v>19</v>
      </c>
      <c r="O4" s="202" t="s">
        <v>20</v>
      </c>
      <c r="P4" s="212" t="s">
        <v>21</v>
      </c>
      <c r="Q4" s="212" t="s">
        <v>22</v>
      </c>
      <c r="R4" s="285" t="s">
        <v>23</v>
      </c>
      <c r="S4" s="285" t="s">
        <v>24</v>
      </c>
      <c r="T4" s="285" t="s">
        <v>25</v>
      </c>
      <c r="U4" s="202" t="s">
        <v>26</v>
      </c>
      <c r="V4" s="202" t="s">
        <v>27</v>
      </c>
      <c r="W4" s="202" t="s">
        <v>28</v>
      </c>
      <c r="X4" s="212" t="s">
        <v>29</v>
      </c>
      <c r="Y4" s="202" t="s">
        <v>30</v>
      </c>
      <c r="Z4" s="213" t="s">
        <v>31</v>
      </c>
      <c r="AA4" s="202" t="s">
        <v>32</v>
      </c>
      <c r="AB4" s="202" t="s">
        <v>33</v>
      </c>
      <c r="AC4" s="233" t="s">
        <v>34</v>
      </c>
      <c r="AD4" s="21" t="s">
        <v>35</v>
      </c>
      <c r="AE4" s="21" t="s">
        <v>36</v>
      </c>
      <c r="AH4" s="342" t="s">
        <v>34</v>
      </c>
    </row>
    <row r="5" spans="1:1029" x14ac:dyDescent="0.25">
      <c r="A5" s="22">
        <v>44287</v>
      </c>
      <c r="B5" s="23" t="s">
        <v>37</v>
      </c>
      <c r="C5" s="309"/>
      <c r="D5" s="24"/>
      <c r="E5" s="25"/>
      <c r="F5" s="26"/>
      <c r="G5" s="352">
        <v>60871.39</v>
      </c>
      <c r="H5" s="27"/>
      <c r="I5" s="28"/>
      <c r="J5" s="28"/>
      <c r="K5" s="29"/>
      <c r="L5" s="30"/>
      <c r="M5" s="181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34"/>
      <c r="AD5" s="31"/>
      <c r="AE5" s="217"/>
      <c r="AH5" s="28">
        <v>0</v>
      </c>
    </row>
    <row r="6" spans="1:1029" x14ac:dyDescent="0.25">
      <c r="A6" s="32">
        <v>45400</v>
      </c>
      <c r="B6" s="38" t="s">
        <v>38</v>
      </c>
      <c r="C6" s="309" t="s">
        <v>39</v>
      </c>
      <c r="D6" s="327">
        <v>959763862</v>
      </c>
      <c r="E6" s="220">
        <v>1115.6099999999999</v>
      </c>
      <c r="F6" s="287">
        <v>45400</v>
      </c>
      <c r="G6" s="352"/>
      <c r="H6" s="356"/>
      <c r="I6" s="304"/>
      <c r="J6" s="35"/>
      <c r="K6" s="134"/>
      <c r="L6" s="135">
        <v>1115.6099999999999</v>
      </c>
      <c r="M6" s="36">
        <v>1063.1099999999999</v>
      </c>
      <c r="N6" s="37">
        <v>52.5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5"/>
      <c r="AA6" s="35"/>
      <c r="AB6" s="35"/>
      <c r="AC6" s="235"/>
      <c r="AD6" s="136"/>
      <c r="AE6" s="187"/>
      <c r="AF6" s="80">
        <f t="shared" ref="AF6:AF7" si="0">+L6-SUM(M6:AD6)</f>
        <v>0</v>
      </c>
      <c r="AH6" s="35"/>
    </row>
    <row r="7" spans="1:1029" x14ac:dyDescent="0.25">
      <c r="A7" s="32">
        <v>45400</v>
      </c>
      <c r="B7" s="38" t="s">
        <v>40</v>
      </c>
      <c r="C7" s="309" t="s">
        <v>39</v>
      </c>
      <c r="D7" s="34">
        <v>528568269</v>
      </c>
      <c r="E7" s="42">
        <v>113.68</v>
      </c>
      <c r="F7" s="287">
        <v>45400</v>
      </c>
      <c r="G7" s="352"/>
      <c r="H7" s="39"/>
      <c r="I7" s="40"/>
      <c r="J7" s="35"/>
      <c r="K7" s="351"/>
      <c r="L7" s="135">
        <v>113.68</v>
      </c>
      <c r="M7" s="36">
        <v>112.22</v>
      </c>
      <c r="N7" s="37">
        <v>1.46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5"/>
      <c r="AA7" s="35"/>
      <c r="AB7" s="35"/>
      <c r="AC7" s="235"/>
      <c r="AD7" s="136"/>
      <c r="AE7" s="187"/>
      <c r="AF7" s="80">
        <f t="shared" si="0"/>
        <v>0</v>
      </c>
      <c r="AH7" s="35"/>
    </row>
    <row r="8" spans="1:1029" x14ac:dyDescent="0.25">
      <c r="A8" s="32">
        <v>45400</v>
      </c>
      <c r="B8" s="38" t="s">
        <v>41</v>
      </c>
      <c r="C8" s="309" t="s">
        <v>39</v>
      </c>
      <c r="D8" s="34">
        <v>677318803</v>
      </c>
      <c r="E8" s="42">
        <v>430.6</v>
      </c>
      <c r="F8" s="287">
        <v>45400</v>
      </c>
      <c r="G8" s="352"/>
      <c r="H8" s="39"/>
      <c r="I8" s="40"/>
      <c r="J8" s="35"/>
      <c r="K8" s="134"/>
      <c r="L8" s="305">
        <v>430.6</v>
      </c>
      <c r="M8" s="36">
        <v>430.6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5"/>
      <c r="AA8" s="35"/>
      <c r="AB8" s="35"/>
      <c r="AC8" s="235"/>
      <c r="AD8" s="136"/>
      <c r="AE8" s="97"/>
      <c r="AF8" s="80">
        <f t="shared" ref="AF8:AF39" si="1">+L8-SUM(M8:AD8)</f>
        <v>0</v>
      </c>
      <c r="AH8" s="35"/>
    </row>
    <row r="9" spans="1:1029" x14ac:dyDescent="0.25">
      <c r="A9" s="32">
        <v>45400</v>
      </c>
      <c r="B9" s="38" t="s">
        <v>42</v>
      </c>
      <c r="C9" s="309" t="s">
        <v>43</v>
      </c>
      <c r="D9" s="34">
        <v>682159222</v>
      </c>
      <c r="E9" s="42">
        <v>1091.6400000000001</v>
      </c>
      <c r="F9" s="287">
        <v>45400</v>
      </c>
      <c r="G9" s="352"/>
      <c r="H9" s="41"/>
      <c r="I9" s="35"/>
      <c r="J9" s="35"/>
      <c r="K9" s="134"/>
      <c r="L9" s="305">
        <v>585.84</v>
      </c>
      <c r="M9" s="36"/>
      <c r="N9" s="37"/>
      <c r="O9" s="37">
        <v>488.2</v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35"/>
      <c r="AA9" s="35"/>
      <c r="AB9" s="35"/>
      <c r="AC9" s="235"/>
      <c r="AD9" s="136">
        <v>97.64</v>
      </c>
      <c r="AE9" s="97" t="s">
        <v>44</v>
      </c>
      <c r="AF9" s="80">
        <f t="shared" si="1"/>
        <v>0</v>
      </c>
      <c r="AH9" s="35"/>
    </row>
    <row r="10" spans="1:1029" s="223" customFormat="1" x14ac:dyDescent="0.25">
      <c r="A10" s="32">
        <v>45400</v>
      </c>
      <c r="B10" s="33" t="s">
        <v>42</v>
      </c>
      <c r="C10" s="309" t="s">
        <v>45</v>
      </c>
      <c r="D10" s="34">
        <v>682159222</v>
      </c>
      <c r="E10" s="42">
        <v>1091.6400000000001</v>
      </c>
      <c r="F10" s="287">
        <v>45400</v>
      </c>
      <c r="G10" s="353"/>
      <c r="H10" s="41"/>
      <c r="I10" s="35"/>
      <c r="J10" s="35"/>
      <c r="K10" s="134"/>
      <c r="L10" s="305">
        <v>505.8</v>
      </c>
      <c r="M10" s="36"/>
      <c r="N10" s="37"/>
      <c r="O10" s="37">
        <v>421.5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5"/>
      <c r="AA10" s="35"/>
      <c r="AB10" s="35"/>
      <c r="AC10" s="235"/>
      <c r="AD10" s="350">
        <v>84.3</v>
      </c>
      <c r="AE10" s="97" t="s">
        <v>44</v>
      </c>
      <c r="AF10" s="265">
        <f t="shared" si="1"/>
        <v>0</v>
      </c>
      <c r="AG10" s="250"/>
      <c r="AH10" s="35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0"/>
      <c r="GH10" s="250"/>
      <c r="GI10" s="250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  <c r="HD10" s="250"/>
      <c r="HE10" s="250"/>
      <c r="HF10" s="250"/>
      <c r="HG10" s="250"/>
      <c r="HH10" s="250"/>
      <c r="HI10" s="250"/>
      <c r="HJ10" s="250"/>
      <c r="HK10" s="250"/>
      <c r="HL10" s="250"/>
      <c r="HM10" s="250"/>
      <c r="HN10" s="250"/>
      <c r="HO10" s="250"/>
      <c r="HP10" s="250"/>
      <c r="HQ10" s="250"/>
      <c r="HR10" s="250"/>
      <c r="HS10" s="250"/>
      <c r="HT10" s="250"/>
      <c r="HU10" s="250"/>
      <c r="HV10" s="250"/>
      <c r="HW10" s="250"/>
      <c r="HX10" s="250"/>
      <c r="HY10" s="250"/>
      <c r="HZ10" s="250"/>
      <c r="IA10" s="250"/>
      <c r="IB10" s="250"/>
      <c r="IC10" s="250"/>
      <c r="ID10" s="250"/>
      <c r="IE10" s="250"/>
      <c r="IF10" s="250"/>
      <c r="IG10" s="250"/>
      <c r="IH10" s="250"/>
      <c r="II10" s="250"/>
      <c r="IJ10" s="250"/>
      <c r="IK10" s="250"/>
      <c r="IL10" s="250"/>
      <c r="IM10" s="250"/>
      <c r="IN10" s="250"/>
      <c r="IO10" s="250"/>
      <c r="IP10" s="250"/>
      <c r="IQ10" s="250"/>
      <c r="IR10" s="250"/>
      <c r="IS10" s="250"/>
      <c r="IT10" s="250"/>
      <c r="IU10" s="250"/>
      <c r="IV10" s="250"/>
      <c r="IW10" s="250"/>
      <c r="IX10" s="250"/>
      <c r="IY10" s="250"/>
      <c r="IZ10" s="250"/>
      <c r="JA10" s="250"/>
      <c r="JB10" s="250"/>
      <c r="JC10" s="250"/>
      <c r="JD10" s="250"/>
      <c r="JE10" s="250"/>
      <c r="JF10" s="250"/>
      <c r="JG10" s="250"/>
      <c r="JH10" s="250"/>
      <c r="JI10" s="250"/>
      <c r="JJ10" s="250"/>
      <c r="JK10" s="250"/>
      <c r="JL10" s="250"/>
      <c r="JM10" s="250"/>
      <c r="JN10" s="250"/>
      <c r="JO10" s="250"/>
      <c r="JP10" s="250"/>
      <c r="JQ10" s="250"/>
      <c r="JR10" s="250"/>
      <c r="JS10" s="250"/>
      <c r="JT10" s="250"/>
      <c r="JU10" s="250"/>
      <c r="JV10" s="250"/>
      <c r="JW10" s="250"/>
      <c r="JX10" s="250"/>
      <c r="JY10" s="250"/>
      <c r="JZ10" s="250"/>
      <c r="KA10" s="250"/>
      <c r="KB10" s="250"/>
      <c r="KC10" s="250"/>
      <c r="KD10" s="250"/>
      <c r="KE10" s="250"/>
      <c r="KF10" s="250"/>
      <c r="KG10" s="250"/>
      <c r="KH10" s="250"/>
      <c r="KI10" s="250"/>
      <c r="KJ10" s="250"/>
      <c r="KK10" s="250"/>
      <c r="KL10" s="250"/>
      <c r="KM10" s="250"/>
      <c r="KN10" s="250"/>
      <c r="KO10" s="250"/>
      <c r="KP10" s="250"/>
      <c r="KQ10" s="250"/>
      <c r="KR10" s="250"/>
      <c r="KS10" s="250"/>
      <c r="KT10" s="250"/>
      <c r="KU10" s="250"/>
      <c r="KV10" s="250"/>
      <c r="KW10" s="250"/>
      <c r="KX10" s="250"/>
      <c r="KY10" s="250"/>
      <c r="KZ10" s="250"/>
      <c r="LA10" s="250"/>
      <c r="LB10" s="250"/>
      <c r="LC10" s="250"/>
      <c r="LD10" s="250"/>
      <c r="LE10" s="250"/>
      <c r="LF10" s="250"/>
      <c r="LG10" s="250"/>
      <c r="LH10" s="250"/>
      <c r="LI10" s="250"/>
      <c r="LJ10" s="250"/>
      <c r="LK10" s="250"/>
      <c r="LL10" s="250"/>
      <c r="LM10" s="250"/>
      <c r="LN10" s="250"/>
      <c r="LO10" s="250"/>
      <c r="LP10" s="250"/>
      <c r="LQ10" s="250"/>
      <c r="LR10" s="250"/>
      <c r="LS10" s="250"/>
      <c r="LT10" s="250"/>
      <c r="LU10" s="250"/>
      <c r="LV10" s="250"/>
      <c r="LW10" s="250"/>
      <c r="LX10" s="250"/>
      <c r="LY10" s="250"/>
      <c r="LZ10" s="250"/>
      <c r="MA10" s="250"/>
      <c r="MB10" s="250"/>
      <c r="MC10" s="250"/>
      <c r="MD10" s="250"/>
      <c r="ME10" s="250"/>
      <c r="MF10" s="250"/>
      <c r="MG10" s="250"/>
      <c r="MH10" s="250"/>
      <c r="MI10" s="250"/>
      <c r="MJ10" s="250"/>
      <c r="MK10" s="250"/>
      <c r="ML10" s="250"/>
      <c r="MM10" s="250"/>
      <c r="MN10" s="250"/>
      <c r="MO10" s="250"/>
      <c r="MP10" s="250"/>
      <c r="MQ10" s="250"/>
      <c r="MR10" s="250"/>
      <c r="MS10" s="250"/>
      <c r="MT10" s="250"/>
      <c r="MU10" s="250"/>
      <c r="MV10" s="250"/>
      <c r="MW10" s="250"/>
      <c r="MX10" s="250"/>
      <c r="MY10" s="250"/>
      <c r="MZ10" s="250"/>
      <c r="NA10" s="250"/>
      <c r="NB10" s="250"/>
      <c r="NC10" s="250"/>
      <c r="ND10" s="250"/>
      <c r="NE10" s="250"/>
      <c r="NF10" s="250"/>
      <c r="NG10" s="250"/>
      <c r="NH10" s="250"/>
      <c r="NI10" s="250"/>
      <c r="NJ10" s="250"/>
      <c r="NK10" s="250"/>
      <c r="NL10" s="250"/>
      <c r="NM10" s="250"/>
      <c r="NN10" s="250"/>
      <c r="NO10" s="250"/>
      <c r="NP10" s="250"/>
      <c r="NQ10" s="250"/>
      <c r="NR10" s="250"/>
      <c r="NS10" s="250"/>
      <c r="NT10" s="250"/>
      <c r="NU10" s="250"/>
      <c r="NV10" s="250"/>
      <c r="NW10" s="250"/>
      <c r="NX10" s="250"/>
      <c r="NY10" s="250"/>
      <c r="NZ10" s="250"/>
      <c r="OA10" s="250"/>
      <c r="OB10" s="250"/>
      <c r="OC10" s="250"/>
      <c r="OD10" s="250"/>
      <c r="OE10" s="250"/>
      <c r="OF10" s="250"/>
      <c r="OG10" s="250"/>
      <c r="OH10" s="250"/>
      <c r="OI10" s="250"/>
      <c r="OJ10" s="250"/>
      <c r="OK10" s="250"/>
      <c r="OL10" s="250"/>
      <c r="OM10" s="250"/>
      <c r="ON10" s="250"/>
      <c r="OO10" s="250"/>
      <c r="OP10" s="250"/>
      <c r="OQ10" s="250"/>
      <c r="OR10" s="250"/>
      <c r="OS10" s="250"/>
      <c r="OT10" s="250"/>
      <c r="OU10" s="250"/>
      <c r="OV10" s="250"/>
      <c r="OW10" s="250"/>
      <c r="OX10" s="250"/>
      <c r="OY10" s="250"/>
      <c r="OZ10" s="250"/>
      <c r="PA10" s="250"/>
      <c r="PB10" s="250"/>
      <c r="PC10" s="250"/>
      <c r="PD10" s="250"/>
      <c r="PE10" s="250"/>
      <c r="PF10" s="250"/>
      <c r="PG10" s="250"/>
      <c r="PH10" s="250"/>
      <c r="PI10" s="250"/>
      <c r="PJ10" s="250"/>
      <c r="PK10" s="250"/>
      <c r="PL10" s="250"/>
      <c r="PM10" s="250"/>
      <c r="PN10" s="250"/>
      <c r="PO10" s="250"/>
      <c r="PP10" s="250"/>
      <c r="PQ10" s="250"/>
      <c r="PR10" s="250"/>
      <c r="PS10" s="250"/>
      <c r="PT10" s="250"/>
      <c r="PU10" s="250"/>
      <c r="PV10" s="250"/>
      <c r="PW10" s="250"/>
      <c r="PX10" s="250"/>
      <c r="PY10" s="250"/>
      <c r="PZ10" s="250"/>
      <c r="QA10" s="250"/>
      <c r="QB10" s="250"/>
      <c r="QC10" s="250"/>
      <c r="QD10" s="250"/>
      <c r="QE10" s="250"/>
      <c r="QF10" s="250"/>
      <c r="QG10" s="250"/>
      <c r="QH10" s="250"/>
      <c r="QI10" s="250"/>
      <c r="QJ10" s="250"/>
      <c r="QK10" s="250"/>
      <c r="QL10" s="250"/>
      <c r="QM10" s="250"/>
      <c r="QN10" s="250"/>
      <c r="QO10" s="250"/>
      <c r="QP10" s="250"/>
      <c r="QQ10" s="250"/>
      <c r="QR10" s="250"/>
      <c r="QS10" s="250"/>
      <c r="QT10" s="250"/>
      <c r="QU10" s="250"/>
      <c r="QV10" s="250"/>
      <c r="QW10" s="250"/>
      <c r="QX10" s="250"/>
      <c r="QY10" s="250"/>
      <c r="QZ10" s="250"/>
      <c r="RA10" s="250"/>
      <c r="RB10" s="250"/>
      <c r="RC10" s="250"/>
      <c r="RD10" s="250"/>
      <c r="RE10" s="250"/>
      <c r="RF10" s="250"/>
      <c r="RG10" s="250"/>
      <c r="RH10" s="250"/>
      <c r="RI10" s="250"/>
      <c r="RJ10" s="250"/>
      <c r="RK10" s="250"/>
      <c r="RL10" s="250"/>
      <c r="RM10" s="250"/>
      <c r="RN10" s="250"/>
      <c r="RO10" s="250"/>
      <c r="RP10" s="250"/>
      <c r="RQ10" s="250"/>
      <c r="RR10" s="250"/>
      <c r="RS10" s="250"/>
      <c r="RT10" s="250"/>
      <c r="RU10" s="250"/>
      <c r="RV10" s="250"/>
      <c r="RW10" s="250"/>
      <c r="RX10" s="250"/>
      <c r="RY10" s="250"/>
      <c r="RZ10" s="250"/>
      <c r="SA10" s="250"/>
      <c r="SB10" s="250"/>
      <c r="SC10" s="250"/>
      <c r="SD10" s="250"/>
      <c r="SE10" s="250"/>
      <c r="SF10" s="250"/>
      <c r="SG10" s="250"/>
      <c r="SH10" s="250"/>
      <c r="SI10" s="250"/>
      <c r="SJ10" s="250"/>
      <c r="SK10" s="250"/>
      <c r="SL10" s="250"/>
      <c r="SM10" s="250"/>
      <c r="SN10" s="250"/>
      <c r="SO10" s="250"/>
      <c r="SP10" s="250"/>
      <c r="SQ10" s="250"/>
      <c r="SR10" s="250"/>
      <c r="SS10" s="250"/>
      <c r="ST10" s="250"/>
      <c r="SU10" s="250"/>
      <c r="SV10" s="250"/>
      <c r="SW10" s="250"/>
      <c r="SX10" s="250"/>
      <c r="SY10" s="250"/>
      <c r="SZ10" s="250"/>
      <c r="TA10" s="250"/>
      <c r="TB10" s="250"/>
      <c r="TC10" s="250"/>
      <c r="TD10" s="250"/>
      <c r="TE10" s="250"/>
      <c r="TF10" s="250"/>
      <c r="TG10" s="250"/>
      <c r="TH10" s="250"/>
      <c r="TI10" s="250"/>
      <c r="TJ10" s="250"/>
      <c r="TK10" s="250"/>
      <c r="TL10" s="250"/>
      <c r="TM10" s="250"/>
      <c r="TN10" s="250"/>
      <c r="TO10" s="250"/>
      <c r="TP10" s="250"/>
      <c r="TQ10" s="250"/>
      <c r="TR10" s="250"/>
      <c r="TS10" s="250"/>
      <c r="TT10" s="250"/>
      <c r="TU10" s="250"/>
      <c r="TV10" s="250"/>
      <c r="TW10" s="250"/>
      <c r="TX10" s="250"/>
      <c r="TY10" s="250"/>
      <c r="TZ10" s="250"/>
      <c r="UA10" s="250"/>
      <c r="UB10" s="250"/>
      <c r="UC10" s="250"/>
      <c r="UD10" s="250"/>
      <c r="UE10" s="250"/>
      <c r="UF10" s="250"/>
      <c r="UG10" s="250"/>
      <c r="UH10" s="250"/>
      <c r="UI10" s="250"/>
      <c r="UJ10" s="250"/>
      <c r="UK10" s="250"/>
      <c r="UL10" s="250"/>
      <c r="UM10" s="250"/>
      <c r="UN10" s="250"/>
      <c r="UO10" s="250"/>
      <c r="UP10" s="250"/>
      <c r="UQ10" s="250"/>
      <c r="UR10" s="250"/>
      <c r="US10" s="250"/>
      <c r="UT10" s="250"/>
      <c r="UU10" s="250"/>
      <c r="UV10" s="250"/>
      <c r="UW10" s="250"/>
      <c r="UX10" s="250"/>
      <c r="UY10" s="250"/>
      <c r="UZ10" s="250"/>
      <c r="VA10" s="250"/>
      <c r="VB10" s="250"/>
      <c r="VC10" s="250"/>
      <c r="VD10" s="250"/>
      <c r="VE10" s="250"/>
      <c r="VF10" s="250"/>
      <c r="VG10" s="250"/>
      <c r="VH10" s="250"/>
      <c r="VI10" s="250"/>
      <c r="VJ10" s="250"/>
      <c r="VK10" s="250"/>
      <c r="VL10" s="250"/>
      <c r="VM10" s="250"/>
      <c r="VN10" s="250"/>
      <c r="VO10" s="250"/>
      <c r="VP10" s="250"/>
      <c r="VQ10" s="250"/>
      <c r="VR10" s="250"/>
      <c r="VS10" s="250"/>
      <c r="VT10" s="250"/>
      <c r="VU10" s="250"/>
      <c r="VV10" s="250"/>
      <c r="VW10" s="250"/>
      <c r="VX10" s="250"/>
      <c r="VY10" s="250"/>
      <c r="VZ10" s="250"/>
      <c r="WA10" s="250"/>
      <c r="WB10" s="250"/>
      <c r="WC10" s="250"/>
      <c r="WD10" s="250"/>
      <c r="WE10" s="250"/>
      <c r="WF10" s="250"/>
      <c r="WG10" s="250"/>
      <c r="WH10" s="250"/>
      <c r="WI10" s="250"/>
      <c r="WJ10" s="250"/>
      <c r="WK10" s="250"/>
      <c r="WL10" s="250"/>
      <c r="WM10" s="250"/>
      <c r="WN10" s="250"/>
      <c r="WO10" s="250"/>
      <c r="WP10" s="250"/>
      <c r="WQ10" s="250"/>
      <c r="WR10" s="250"/>
      <c r="WS10" s="250"/>
      <c r="WT10" s="250"/>
      <c r="WU10" s="250"/>
      <c r="WV10" s="250"/>
      <c r="WW10" s="250"/>
      <c r="WX10" s="250"/>
      <c r="WY10" s="250"/>
      <c r="WZ10" s="250"/>
      <c r="XA10" s="250"/>
      <c r="XB10" s="250"/>
      <c r="XC10" s="250"/>
      <c r="XD10" s="250"/>
      <c r="XE10" s="250"/>
      <c r="XF10" s="250"/>
      <c r="XG10" s="250"/>
      <c r="XH10" s="250"/>
      <c r="XI10" s="250"/>
      <c r="XJ10" s="250"/>
      <c r="XK10" s="250"/>
      <c r="XL10" s="250"/>
      <c r="XM10" s="250"/>
      <c r="XN10" s="250"/>
      <c r="XO10" s="250"/>
      <c r="XP10" s="250"/>
      <c r="XQ10" s="250"/>
      <c r="XR10" s="250"/>
      <c r="XS10" s="250"/>
      <c r="XT10" s="250"/>
      <c r="XU10" s="250"/>
      <c r="XV10" s="250"/>
      <c r="XW10" s="250"/>
      <c r="XX10" s="250"/>
      <c r="XY10" s="250"/>
      <c r="XZ10" s="250"/>
      <c r="YA10" s="250"/>
      <c r="YB10" s="250"/>
      <c r="YC10" s="250"/>
      <c r="YD10" s="250"/>
      <c r="YE10" s="250"/>
      <c r="YF10" s="250"/>
      <c r="YG10" s="250"/>
      <c r="YH10" s="250"/>
      <c r="YI10" s="250"/>
      <c r="YJ10" s="250"/>
      <c r="YK10" s="250"/>
      <c r="YL10" s="250"/>
      <c r="YM10" s="250"/>
      <c r="YN10" s="250"/>
      <c r="YO10" s="250"/>
      <c r="YP10" s="250"/>
      <c r="YQ10" s="250"/>
      <c r="YR10" s="250"/>
      <c r="YS10" s="250"/>
      <c r="YT10" s="250"/>
      <c r="YU10" s="250"/>
      <c r="YV10" s="250"/>
      <c r="YW10" s="250"/>
      <c r="YX10" s="250"/>
      <c r="YY10" s="250"/>
      <c r="YZ10" s="250"/>
      <c r="ZA10" s="250"/>
      <c r="ZB10" s="250"/>
      <c r="ZC10" s="250"/>
      <c r="ZD10" s="250"/>
      <c r="ZE10" s="250"/>
      <c r="ZF10" s="250"/>
      <c r="ZG10" s="250"/>
      <c r="ZH10" s="250"/>
      <c r="ZI10" s="250"/>
      <c r="ZJ10" s="250"/>
      <c r="ZK10" s="250"/>
      <c r="ZL10" s="250"/>
      <c r="ZM10" s="250"/>
      <c r="ZN10" s="250"/>
      <c r="ZO10" s="250"/>
      <c r="ZP10" s="250"/>
      <c r="ZQ10" s="250"/>
      <c r="ZR10" s="250"/>
      <c r="ZS10" s="250"/>
      <c r="ZT10" s="250"/>
      <c r="ZU10" s="250"/>
      <c r="ZV10" s="250"/>
      <c r="ZW10" s="250"/>
      <c r="ZX10" s="250"/>
      <c r="ZY10" s="250"/>
      <c r="ZZ10" s="250"/>
      <c r="AAA10" s="250"/>
      <c r="AAB10" s="250"/>
      <c r="AAC10" s="250"/>
      <c r="AAD10" s="250"/>
      <c r="AAE10" s="250"/>
      <c r="AAF10" s="250"/>
      <c r="AAG10" s="250"/>
      <c r="AAH10" s="250"/>
      <c r="AAI10" s="250"/>
      <c r="AAJ10" s="250"/>
      <c r="AAK10" s="250"/>
      <c r="AAL10" s="250"/>
      <c r="AAM10" s="250"/>
      <c r="AAN10" s="250"/>
      <c r="AAO10" s="250"/>
      <c r="AAP10" s="250"/>
      <c r="AAQ10" s="250"/>
      <c r="AAR10" s="250"/>
      <c r="AAS10" s="250"/>
      <c r="AAT10" s="250"/>
      <c r="AAU10" s="250"/>
      <c r="AAV10" s="250"/>
      <c r="AAW10" s="250"/>
      <c r="AAX10" s="250"/>
      <c r="AAY10" s="250"/>
      <c r="AAZ10" s="250"/>
      <c r="ABA10" s="250"/>
      <c r="ABB10" s="250"/>
      <c r="ABC10" s="250"/>
      <c r="ABD10" s="250"/>
      <c r="ABE10" s="250"/>
      <c r="ABF10" s="250"/>
      <c r="ABG10" s="250"/>
      <c r="ABH10" s="250"/>
      <c r="ABI10" s="250"/>
      <c r="ABJ10" s="250"/>
      <c r="ABK10" s="250"/>
      <c r="ABL10" s="250"/>
      <c r="ABM10" s="250"/>
      <c r="ABN10" s="250"/>
      <c r="ABO10" s="250"/>
      <c r="ABP10" s="250"/>
      <c r="ABQ10" s="250"/>
      <c r="ABR10" s="250"/>
      <c r="ABS10" s="250"/>
      <c r="ABT10" s="250"/>
      <c r="ABU10" s="250"/>
      <c r="ABV10" s="250"/>
      <c r="ABW10" s="250"/>
      <c r="ABX10" s="250"/>
      <c r="ABY10" s="250"/>
      <c r="ABZ10" s="250"/>
      <c r="ACA10" s="250"/>
      <c r="ACB10" s="250"/>
      <c r="ACC10" s="250"/>
      <c r="ACD10" s="250"/>
      <c r="ACE10" s="250"/>
      <c r="ACF10" s="250"/>
      <c r="ACG10" s="250"/>
      <c r="ACH10" s="250"/>
      <c r="ACI10" s="250"/>
      <c r="ACJ10" s="250"/>
      <c r="ACK10" s="250"/>
      <c r="ACL10" s="250"/>
      <c r="ACM10" s="250"/>
      <c r="ACN10" s="250"/>
      <c r="ACO10" s="250"/>
      <c r="ACP10" s="250"/>
      <c r="ACQ10" s="250"/>
      <c r="ACR10" s="250"/>
      <c r="ACS10" s="250"/>
      <c r="ACT10" s="250"/>
      <c r="ACU10" s="250"/>
      <c r="ACV10" s="250"/>
      <c r="ACW10" s="250"/>
      <c r="ACX10" s="250"/>
      <c r="ACY10" s="250"/>
      <c r="ACZ10" s="250"/>
      <c r="ADA10" s="250"/>
      <c r="ADB10" s="250"/>
      <c r="ADC10" s="250"/>
      <c r="ADD10" s="250"/>
      <c r="ADE10" s="250"/>
      <c r="ADF10" s="250"/>
      <c r="ADG10" s="250"/>
      <c r="ADH10" s="250"/>
      <c r="ADI10" s="250"/>
      <c r="ADJ10" s="250"/>
      <c r="ADK10" s="250"/>
      <c r="ADL10" s="250"/>
      <c r="ADM10" s="250"/>
      <c r="ADN10" s="250"/>
      <c r="ADO10" s="250"/>
      <c r="ADP10" s="250"/>
      <c r="ADQ10" s="250"/>
      <c r="ADR10" s="250"/>
      <c r="ADS10" s="250"/>
      <c r="ADT10" s="250"/>
      <c r="ADU10" s="250"/>
      <c r="ADV10" s="250"/>
      <c r="ADW10" s="250"/>
      <c r="ADX10" s="250"/>
      <c r="ADY10" s="250"/>
      <c r="ADZ10" s="250"/>
      <c r="AEA10" s="250"/>
      <c r="AEB10" s="250"/>
      <c r="AEC10" s="250"/>
      <c r="AED10" s="250"/>
      <c r="AEE10" s="250"/>
      <c r="AEF10" s="250"/>
      <c r="AEG10" s="250"/>
      <c r="AEH10" s="250"/>
      <c r="AEI10" s="250"/>
      <c r="AEJ10" s="250"/>
      <c r="AEK10" s="250"/>
      <c r="AEL10" s="250"/>
      <c r="AEM10" s="250"/>
      <c r="AEN10" s="250"/>
      <c r="AEO10" s="250"/>
      <c r="AEP10" s="250"/>
      <c r="AEQ10" s="250"/>
      <c r="AER10" s="250"/>
      <c r="AES10" s="250"/>
      <c r="AET10" s="250"/>
      <c r="AEU10" s="250"/>
      <c r="AEV10" s="250"/>
      <c r="AEW10" s="250"/>
      <c r="AEX10" s="250"/>
      <c r="AEY10" s="250"/>
      <c r="AEZ10" s="250"/>
      <c r="AFA10" s="250"/>
      <c r="AFB10" s="250"/>
      <c r="AFC10" s="250"/>
      <c r="AFD10" s="250"/>
      <c r="AFE10" s="250"/>
      <c r="AFF10" s="250"/>
      <c r="AFG10" s="250"/>
      <c r="AFH10" s="250"/>
      <c r="AFI10" s="250"/>
      <c r="AFJ10" s="250"/>
      <c r="AFK10" s="250"/>
      <c r="AFL10" s="250"/>
      <c r="AFM10" s="250"/>
      <c r="AFN10" s="250"/>
      <c r="AFO10" s="250"/>
      <c r="AFP10" s="250"/>
      <c r="AFQ10" s="250"/>
      <c r="AFR10" s="250"/>
      <c r="AFS10" s="250"/>
      <c r="AFT10" s="250"/>
      <c r="AFU10" s="250"/>
      <c r="AFV10" s="250"/>
      <c r="AFW10" s="250"/>
      <c r="AFX10" s="250"/>
      <c r="AFY10" s="250"/>
      <c r="AFZ10" s="250"/>
      <c r="AGA10" s="250"/>
      <c r="AGB10" s="250"/>
      <c r="AGC10" s="250"/>
      <c r="AGD10" s="250"/>
      <c r="AGE10" s="250"/>
      <c r="AGF10" s="250"/>
      <c r="AGG10" s="250"/>
      <c r="AGH10" s="250"/>
      <c r="AGI10" s="250"/>
      <c r="AGJ10" s="250"/>
      <c r="AGK10" s="250"/>
      <c r="AGL10" s="250"/>
      <c r="AGM10" s="250"/>
      <c r="AGN10" s="250"/>
      <c r="AGO10" s="250"/>
      <c r="AGP10" s="250"/>
      <c r="AGQ10" s="250"/>
      <c r="AGR10" s="250"/>
      <c r="AGS10" s="250"/>
      <c r="AGT10" s="250"/>
      <c r="AGU10" s="250"/>
      <c r="AGV10" s="250"/>
      <c r="AGW10" s="250"/>
      <c r="AGX10" s="250"/>
      <c r="AGY10" s="250"/>
      <c r="AGZ10" s="250"/>
      <c r="AHA10" s="250"/>
      <c r="AHB10" s="250"/>
      <c r="AHC10" s="250"/>
      <c r="AHD10" s="250"/>
      <c r="AHE10" s="250"/>
      <c r="AHF10" s="250"/>
      <c r="AHG10" s="250"/>
      <c r="AHH10" s="250"/>
      <c r="AHI10" s="250"/>
      <c r="AHJ10" s="250"/>
      <c r="AHK10" s="250"/>
      <c r="AHL10" s="250"/>
      <c r="AHM10" s="250"/>
      <c r="AHN10" s="250"/>
      <c r="AHO10" s="250"/>
      <c r="AHP10" s="250"/>
      <c r="AHQ10" s="250"/>
      <c r="AHR10" s="250"/>
      <c r="AHS10" s="250"/>
      <c r="AHT10" s="250"/>
      <c r="AHU10" s="250"/>
      <c r="AHV10" s="250"/>
      <c r="AHW10" s="250"/>
      <c r="AHX10" s="250"/>
      <c r="AHY10" s="250"/>
      <c r="AHZ10" s="250"/>
      <c r="AIA10" s="250"/>
      <c r="AIB10" s="250"/>
      <c r="AIC10" s="250"/>
      <c r="AID10" s="250"/>
      <c r="AIE10" s="250"/>
      <c r="AIF10" s="250"/>
      <c r="AIG10" s="250"/>
      <c r="AIH10" s="250"/>
      <c r="AII10" s="250"/>
      <c r="AIJ10" s="250"/>
      <c r="AIK10" s="250"/>
      <c r="AIL10" s="250"/>
      <c r="AIM10" s="250"/>
      <c r="AIN10" s="250"/>
      <c r="AIO10" s="250"/>
      <c r="AIP10" s="250"/>
      <c r="AIQ10" s="250"/>
      <c r="AIR10" s="250"/>
      <c r="AIS10" s="250"/>
      <c r="AIT10" s="250"/>
      <c r="AIU10" s="250"/>
      <c r="AIV10" s="250"/>
      <c r="AIW10" s="250"/>
      <c r="AIX10" s="250"/>
      <c r="AIY10" s="250"/>
      <c r="AIZ10" s="250"/>
      <c r="AJA10" s="250"/>
      <c r="AJB10" s="250"/>
      <c r="AJC10" s="250"/>
      <c r="AJD10" s="250"/>
      <c r="AJE10" s="250"/>
      <c r="AJF10" s="250"/>
      <c r="AJG10" s="250"/>
      <c r="AJH10" s="250"/>
      <c r="AJI10" s="250"/>
      <c r="AJJ10" s="250"/>
      <c r="AJK10" s="250"/>
      <c r="AJL10" s="250"/>
      <c r="AJM10" s="250"/>
      <c r="AJN10" s="250"/>
      <c r="AJO10" s="250"/>
      <c r="AJP10" s="250"/>
      <c r="AJQ10" s="250"/>
      <c r="AJR10" s="250"/>
      <c r="AJS10" s="250"/>
      <c r="AJT10" s="250"/>
      <c r="AJU10" s="250"/>
      <c r="AJV10" s="250"/>
      <c r="AJW10" s="250"/>
      <c r="AJX10" s="250"/>
      <c r="AJY10" s="250"/>
      <c r="AJZ10" s="250"/>
      <c r="AKA10" s="250"/>
      <c r="AKB10" s="250"/>
      <c r="AKC10" s="250"/>
      <c r="AKD10" s="250"/>
      <c r="AKE10" s="250"/>
      <c r="AKF10" s="250"/>
      <c r="AKG10" s="250"/>
      <c r="AKH10" s="250"/>
      <c r="AKI10" s="250"/>
      <c r="AKJ10" s="250"/>
      <c r="AKK10" s="250"/>
      <c r="AKL10" s="250"/>
      <c r="AKM10" s="250"/>
      <c r="AKN10" s="250"/>
      <c r="AKO10" s="250"/>
      <c r="AKP10" s="250"/>
      <c r="AKQ10" s="250"/>
      <c r="AKR10" s="250"/>
      <c r="AKS10" s="250"/>
      <c r="AKT10" s="250"/>
      <c r="AKU10" s="250"/>
      <c r="AKV10" s="250"/>
      <c r="AKW10" s="250"/>
      <c r="AKX10" s="250"/>
      <c r="AKY10" s="250"/>
      <c r="AKZ10" s="250"/>
      <c r="ALA10" s="250"/>
      <c r="ALB10" s="250"/>
      <c r="ALC10" s="250"/>
      <c r="ALD10" s="250"/>
      <c r="ALE10" s="250"/>
      <c r="ALF10" s="250"/>
      <c r="ALG10" s="250"/>
      <c r="ALH10" s="250"/>
      <c r="ALI10" s="250"/>
      <c r="ALJ10" s="250"/>
      <c r="ALK10" s="250"/>
      <c r="ALL10" s="250"/>
      <c r="ALM10" s="250"/>
      <c r="ALN10" s="250"/>
      <c r="ALO10" s="250"/>
      <c r="ALP10" s="250"/>
      <c r="ALQ10" s="250"/>
      <c r="ALR10" s="250"/>
      <c r="ALS10" s="250"/>
      <c r="ALT10" s="250"/>
      <c r="ALU10" s="250"/>
      <c r="ALV10" s="250"/>
      <c r="ALW10" s="250"/>
      <c r="ALX10" s="250"/>
      <c r="ALY10" s="250"/>
      <c r="ALZ10" s="250"/>
      <c r="AMA10" s="250"/>
      <c r="AMB10" s="250"/>
      <c r="AMC10" s="250"/>
      <c r="AMD10" s="250"/>
      <c r="AME10" s="250"/>
      <c r="AMF10" s="250"/>
      <c r="AMG10" s="250"/>
      <c r="AMH10" s="250"/>
      <c r="AMI10" s="250"/>
      <c r="AMJ10" s="250"/>
      <c r="AMK10" s="250"/>
      <c r="AML10" s="250"/>
      <c r="AMM10" s="250"/>
      <c r="AMN10" s="250"/>
      <c r="AMO10" s="250"/>
    </row>
    <row r="11" spans="1:1029" s="133" customFormat="1" ht="14.25" x14ac:dyDescent="0.2">
      <c r="A11" s="32">
        <v>45400</v>
      </c>
      <c r="B11" s="286" t="s">
        <v>46</v>
      </c>
      <c r="C11" s="309" t="s">
        <v>47</v>
      </c>
      <c r="D11" s="221">
        <v>161643339</v>
      </c>
      <c r="E11" s="137">
        <v>792</v>
      </c>
      <c r="F11" s="287">
        <v>45400</v>
      </c>
      <c r="G11" s="354"/>
      <c r="H11" s="289"/>
      <c r="I11" s="132"/>
      <c r="J11" s="132"/>
      <c r="K11" s="137"/>
      <c r="L11" s="305">
        <v>792</v>
      </c>
      <c r="M11" s="131"/>
      <c r="N11" s="132">
        <v>660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236"/>
      <c r="AD11" s="138">
        <v>132</v>
      </c>
      <c r="AE11" s="97" t="s">
        <v>48</v>
      </c>
      <c r="AF11" s="265">
        <f t="shared" si="1"/>
        <v>0</v>
      </c>
      <c r="AH11" s="132"/>
    </row>
    <row r="12" spans="1:1029" s="133" customFormat="1" ht="14.25" x14ac:dyDescent="0.2">
      <c r="A12" s="32">
        <v>45400</v>
      </c>
      <c r="B12" s="286" t="s">
        <v>49</v>
      </c>
      <c r="C12" s="309" t="s">
        <v>50</v>
      </c>
      <c r="D12" s="221">
        <v>790062038</v>
      </c>
      <c r="E12" s="137">
        <v>252.49</v>
      </c>
      <c r="F12" s="287">
        <v>45400</v>
      </c>
      <c r="G12" s="354"/>
      <c r="H12" s="289"/>
      <c r="I12" s="132"/>
      <c r="J12" s="132"/>
      <c r="K12" s="137"/>
      <c r="L12" s="305">
        <v>252.49</v>
      </c>
      <c r="M12" s="131"/>
      <c r="N12" s="132"/>
      <c r="O12" s="132"/>
      <c r="P12" s="132"/>
      <c r="Q12" s="132"/>
      <c r="R12" s="132"/>
      <c r="S12" s="132"/>
      <c r="T12" s="132">
        <v>252.49</v>
      </c>
      <c r="U12" s="132"/>
      <c r="V12" s="132"/>
      <c r="W12" s="132"/>
      <c r="X12" s="132"/>
      <c r="Y12" s="132"/>
      <c r="Z12" s="132"/>
      <c r="AA12" s="132"/>
      <c r="AB12" s="132"/>
      <c r="AC12" s="236"/>
      <c r="AD12" s="138"/>
      <c r="AE12" s="97"/>
      <c r="AF12" s="265">
        <f t="shared" ref="AF12" si="2">+L12-SUM(M12:AD12)</f>
        <v>0</v>
      </c>
      <c r="AH12" s="132"/>
    </row>
    <row r="13" spans="1:1029" s="223" customFormat="1" x14ac:dyDescent="0.25">
      <c r="A13" s="32">
        <v>45413</v>
      </c>
      <c r="B13" s="288" t="s">
        <v>51</v>
      </c>
      <c r="C13" s="309" t="s">
        <v>52</v>
      </c>
      <c r="D13" s="34" t="s">
        <v>53</v>
      </c>
      <c r="E13" s="42">
        <v>1322.5</v>
      </c>
      <c r="F13" s="287">
        <v>45413</v>
      </c>
      <c r="G13" s="352">
        <v>1322.5</v>
      </c>
      <c r="H13" s="139"/>
      <c r="I13" s="140"/>
      <c r="J13" s="477">
        <v>1322.5</v>
      </c>
      <c r="K13" s="134"/>
      <c r="L13" s="305"/>
      <c r="M13" s="36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5"/>
      <c r="AA13" s="35"/>
      <c r="AB13" s="35"/>
      <c r="AC13" s="235"/>
      <c r="AD13" s="350"/>
      <c r="AE13" s="97"/>
      <c r="AF13" s="265">
        <f t="shared" si="1"/>
        <v>0</v>
      </c>
      <c r="AG13" s="250"/>
      <c r="AH13" s="35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  <c r="IO13" s="250"/>
      <c r="IP13" s="250"/>
      <c r="IQ13" s="250"/>
      <c r="IR13" s="250"/>
      <c r="IS13" s="250"/>
      <c r="IT13" s="250"/>
      <c r="IU13" s="250"/>
      <c r="IV13" s="250"/>
      <c r="IW13" s="250"/>
      <c r="IX13" s="250"/>
      <c r="IY13" s="250"/>
      <c r="IZ13" s="250"/>
      <c r="JA13" s="250"/>
      <c r="JB13" s="250"/>
      <c r="JC13" s="250"/>
      <c r="JD13" s="250"/>
      <c r="JE13" s="250"/>
      <c r="JF13" s="250"/>
      <c r="JG13" s="250"/>
      <c r="JH13" s="250"/>
      <c r="JI13" s="250"/>
      <c r="JJ13" s="250"/>
      <c r="JK13" s="250"/>
      <c r="JL13" s="250"/>
      <c r="JM13" s="250"/>
      <c r="JN13" s="250"/>
      <c r="JO13" s="250"/>
      <c r="JP13" s="250"/>
      <c r="JQ13" s="250"/>
      <c r="JR13" s="250"/>
      <c r="JS13" s="250"/>
      <c r="JT13" s="250"/>
      <c r="JU13" s="250"/>
      <c r="JV13" s="250"/>
      <c r="JW13" s="250"/>
      <c r="JX13" s="250"/>
      <c r="JY13" s="250"/>
      <c r="JZ13" s="250"/>
      <c r="KA13" s="250"/>
      <c r="KB13" s="250"/>
      <c r="KC13" s="250"/>
      <c r="KD13" s="250"/>
      <c r="KE13" s="250"/>
      <c r="KF13" s="250"/>
      <c r="KG13" s="250"/>
      <c r="KH13" s="250"/>
      <c r="KI13" s="250"/>
      <c r="KJ13" s="250"/>
      <c r="KK13" s="250"/>
      <c r="KL13" s="250"/>
      <c r="KM13" s="250"/>
      <c r="KN13" s="250"/>
      <c r="KO13" s="250"/>
      <c r="KP13" s="250"/>
      <c r="KQ13" s="250"/>
      <c r="KR13" s="250"/>
      <c r="KS13" s="250"/>
      <c r="KT13" s="250"/>
      <c r="KU13" s="250"/>
      <c r="KV13" s="250"/>
      <c r="KW13" s="250"/>
      <c r="KX13" s="250"/>
      <c r="KY13" s="250"/>
      <c r="KZ13" s="250"/>
      <c r="LA13" s="250"/>
      <c r="LB13" s="250"/>
      <c r="LC13" s="250"/>
      <c r="LD13" s="250"/>
      <c r="LE13" s="250"/>
      <c r="LF13" s="250"/>
      <c r="LG13" s="250"/>
      <c r="LH13" s="250"/>
      <c r="LI13" s="250"/>
      <c r="LJ13" s="250"/>
      <c r="LK13" s="250"/>
      <c r="LL13" s="250"/>
      <c r="LM13" s="250"/>
      <c r="LN13" s="250"/>
      <c r="LO13" s="250"/>
      <c r="LP13" s="250"/>
      <c r="LQ13" s="250"/>
      <c r="LR13" s="250"/>
      <c r="LS13" s="250"/>
      <c r="LT13" s="250"/>
      <c r="LU13" s="250"/>
      <c r="LV13" s="250"/>
      <c r="LW13" s="250"/>
      <c r="LX13" s="250"/>
      <c r="LY13" s="250"/>
      <c r="LZ13" s="250"/>
      <c r="MA13" s="250"/>
      <c r="MB13" s="250"/>
      <c r="MC13" s="250"/>
      <c r="MD13" s="250"/>
      <c r="ME13" s="250"/>
      <c r="MF13" s="250"/>
      <c r="MG13" s="250"/>
      <c r="MH13" s="250"/>
      <c r="MI13" s="250"/>
      <c r="MJ13" s="250"/>
      <c r="MK13" s="250"/>
      <c r="ML13" s="250"/>
      <c r="MM13" s="250"/>
      <c r="MN13" s="250"/>
      <c r="MO13" s="250"/>
      <c r="MP13" s="250"/>
      <c r="MQ13" s="250"/>
      <c r="MR13" s="250"/>
      <c r="MS13" s="250"/>
      <c r="MT13" s="250"/>
      <c r="MU13" s="250"/>
      <c r="MV13" s="250"/>
      <c r="MW13" s="250"/>
      <c r="MX13" s="250"/>
      <c r="MY13" s="250"/>
      <c r="MZ13" s="250"/>
      <c r="NA13" s="250"/>
      <c r="NB13" s="250"/>
      <c r="NC13" s="250"/>
      <c r="ND13" s="250"/>
      <c r="NE13" s="250"/>
      <c r="NF13" s="250"/>
      <c r="NG13" s="250"/>
      <c r="NH13" s="250"/>
      <c r="NI13" s="250"/>
      <c r="NJ13" s="250"/>
      <c r="NK13" s="250"/>
      <c r="NL13" s="250"/>
      <c r="NM13" s="250"/>
      <c r="NN13" s="250"/>
      <c r="NO13" s="250"/>
      <c r="NP13" s="250"/>
      <c r="NQ13" s="250"/>
      <c r="NR13" s="250"/>
      <c r="NS13" s="250"/>
      <c r="NT13" s="250"/>
      <c r="NU13" s="250"/>
      <c r="NV13" s="250"/>
      <c r="NW13" s="250"/>
      <c r="NX13" s="250"/>
      <c r="NY13" s="250"/>
      <c r="NZ13" s="250"/>
      <c r="OA13" s="250"/>
      <c r="OB13" s="250"/>
      <c r="OC13" s="250"/>
      <c r="OD13" s="250"/>
      <c r="OE13" s="250"/>
      <c r="OF13" s="250"/>
      <c r="OG13" s="250"/>
      <c r="OH13" s="250"/>
      <c r="OI13" s="250"/>
      <c r="OJ13" s="250"/>
      <c r="OK13" s="250"/>
      <c r="OL13" s="250"/>
      <c r="OM13" s="250"/>
      <c r="ON13" s="250"/>
      <c r="OO13" s="250"/>
      <c r="OP13" s="250"/>
      <c r="OQ13" s="250"/>
      <c r="OR13" s="250"/>
      <c r="OS13" s="250"/>
      <c r="OT13" s="250"/>
      <c r="OU13" s="250"/>
      <c r="OV13" s="250"/>
      <c r="OW13" s="250"/>
      <c r="OX13" s="250"/>
      <c r="OY13" s="250"/>
      <c r="OZ13" s="250"/>
      <c r="PA13" s="250"/>
      <c r="PB13" s="250"/>
      <c r="PC13" s="250"/>
      <c r="PD13" s="250"/>
      <c r="PE13" s="250"/>
      <c r="PF13" s="250"/>
      <c r="PG13" s="250"/>
      <c r="PH13" s="250"/>
      <c r="PI13" s="250"/>
      <c r="PJ13" s="250"/>
      <c r="PK13" s="250"/>
      <c r="PL13" s="250"/>
      <c r="PM13" s="250"/>
      <c r="PN13" s="250"/>
      <c r="PO13" s="250"/>
      <c r="PP13" s="250"/>
      <c r="PQ13" s="250"/>
      <c r="PR13" s="250"/>
      <c r="PS13" s="250"/>
      <c r="PT13" s="250"/>
      <c r="PU13" s="250"/>
      <c r="PV13" s="250"/>
      <c r="PW13" s="250"/>
      <c r="PX13" s="250"/>
      <c r="PY13" s="250"/>
      <c r="PZ13" s="250"/>
      <c r="QA13" s="250"/>
      <c r="QB13" s="250"/>
      <c r="QC13" s="250"/>
      <c r="QD13" s="250"/>
      <c r="QE13" s="250"/>
      <c r="QF13" s="250"/>
      <c r="QG13" s="250"/>
      <c r="QH13" s="250"/>
      <c r="QI13" s="250"/>
      <c r="QJ13" s="250"/>
      <c r="QK13" s="250"/>
      <c r="QL13" s="250"/>
      <c r="QM13" s="250"/>
      <c r="QN13" s="250"/>
      <c r="QO13" s="250"/>
      <c r="QP13" s="250"/>
      <c r="QQ13" s="250"/>
      <c r="QR13" s="250"/>
      <c r="QS13" s="250"/>
      <c r="QT13" s="250"/>
      <c r="QU13" s="250"/>
      <c r="QV13" s="250"/>
      <c r="QW13" s="250"/>
      <c r="QX13" s="250"/>
      <c r="QY13" s="250"/>
      <c r="QZ13" s="250"/>
      <c r="RA13" s="250"/>
      <c r="RB13" s="250"/>
      <c r="RC13" s="250"/>
      <c r="RD13" s="250"/>
      <c r="RE13" s="250"/>
      <c r="RF13" s="250"/>
      <c r="RG13" s="250"/>
      <c r="RH13" s="250"/>
      <c r="RI13" s="250"/>
      <c r="RJ13" s="250"/>
      <c r="RK13" s="250"/>
      <c r="RL13" s="250"/>
      <c r="RM13" s="250"/>
      <c r="RN13" s="250"/>
      <c r="RO13" s="250"/>
      <c r="RP13" s="250"/>
      <c r="RQ13" s="250"/>
      <c r="RR13" s="250"/>
      <c r="RS13" s="250"/>
      <c r="RT13" s="250"/>
      <c r="RU13" s="250"/>
      <c r="RV13" s="250"/>
      <c r="RW13" s="250"/>
      <c r="RX13" s="250"/>
      <c r="RY13" s="250"/>
      <c r="RZ13" s="250"/>
      <c r="SA13" s="250"/>
      <c r="SB13" s="250"/>
      <c r="SC13" s="250"/>
      <c r="SD13" s="250"/>
      <c r="SE13" s="250"/>
      <c r="SF13" s="250"/>
      <c r="SG13" s="250"/>
      <c r="SH13" s="250"/>
      <c r="SI13" s="250"/>
      <c r="SJ13" s="250"/>
      <c r="SK13" s="250"/>
      <c r="SL13" s="250"/>
      <c r="SM13" s="250"/>
      <c r="SN13" s="250"/>
      <c r="SO13" s="250"/>
      <c r="SP13" s="250"/>
      <c r="SQ13" s="250"/>
      <c r="SR13" s="250"/>
      <c r="SS13" s="250"/>
      <c r="ST13" s="250"/>
      <c r="SU13" s="250"/>
      <c r="SV13" s="250"/>
      <c r="SW13" s="250"/>
      <c r="SX13" s="250"/>
      <c r="SY13" s="250"/>
      <c r="SZ13" s="250"/>
      <c r="TA13" s="250"/>
      <c r="TB13" s="250"/>
      <c r="TC13" s="250"/>
      <c r="TD13" s="250"/>
      <c r="TE13" s="250"/>
      <c r="TF13" s="250"/>
      <c r="TG13" s="250"/>
      <c r="TH13" s="250"/>
      <c r="TI13" s="250"/>
      <c r="TJ13" s="250"/>
      <c r="TK13" s="250"/>
      <c r="TL13" s="250"/>
      <c r="TM13" s="250"/>
      <c r="TN13" s="250"/>
      <c r="TO13" s="250"/>
      <c r="TP13" s="250"/>
      <c r="TQ13" s="250"/>
      <c r="TR13" s="250"/>
      <c r="TS13" s="250"/>
      <c r="TT13" s="250"/>
      <c r="TU13" s="250"/>
      <c r="TV13" s="250"/>
      <c r="TW13" s="250"/>
      <c r="TX13" s="250"/>
      <c r="TY13" s="250"/>
      <c r="TZ13" s="250"/>
      <c r="UA13" s="250"/>
      <c r="UB13" s="250"/>
      <c r="UC13" s="250"/>
      <c r="UD13" s="250"/>
      <c r="UE13" s="250"/>
      <c r="UF13" s="250"/>
      <c r="UG13" s="250"/>
      <c r="UH13" s="250"/>
      <c r="UI13" s="250"/>
      <c r="UJ13" s="250"/>
      <c r="UK13" s="250"/>
      <c r="UL13" s="250"/>
      <c r="UM13" s="250"/>
      <c r="UN13" s="250"/>
      <c r="UO13" s="250"/>
      <c r="UP13" s="250"/>
      <c r="UQ13" s="250"/>
      <c r="UR13" s="250"/>
      <c r="US13" s="250"/>
      <c r="UT13" s="250"/>
      <c r="UU13" s="250"/>
      <c r="UV13" s="250"/>
      <c r="UW13" s="250"/>
      <c r="UX13" s="250"/>
      <c r="UY13" s="250"/>
      <c r="UZ13" s="250"/>
      <c r="VA13" s="250"/>
      <c r="VB13" s="250"/>
      <c r="VC13" s="250"/>
      <c r="VD13" s="250"/>
      <c r="VE13" s="250"/>
      <c r="VF13" s="250"/>
      <c r="VG13" s="250"/>
      <c r="VH13" s="250"/>
      <c r="VI13" s="250"/>
      <c r="VJ13" s="250"/>
      <c r="VK13" s="250"/>
      <c r="VL13" s="250"/>
      <c r="VM13" s="250"/>
      <c r="VN13" s="250"/>
      <c r="VO13" s="250"/>
      <c r="VP13" s="250"/>
      <c r="VQ13" s="250"/>
      <c r="VR13" s="250"/>
      <c r="VS13" s="250"/>
      <c r="VT13" s="250"/>
      <c r="VU13" s="250"/>
      <c r="VV13" s="250"/>
      <c r="VW13" s="250"/>
      <c r="VX13" s="250"/>
      <c r="VY13" s="250"/>
      <c r="VZ13" s="250"/>
      <c r="WA13" s="250"/>
      <c r="WB13" s="250"/>
      <c r="WC13" s="250"/>
      <c r="WD13" s="250"/>
      <c r="WE13" s="250"/>
      <c r="WF13" s="250"/>
      <c r="WG13" s="250"/>
      <c r="WH13" s="250"/>
      <c r="WI13" s="250"/>
      <c r="WJ13" s="250"/>
      <c r="WK13" s="250"/>
      <c r="WL13" s="250"/>
      <c r="WM13" s="250"/>
      <c r="WN13" s="250"/>
      <c r="WO13" s="250"/>
      <c r="WP13" s="250"/>
      <c r="WQ13" s="250"/>
      <c r="WR13" s="250"/>
      <c r="WS13" s="250"/>
      <c r="WT13" s="250"/>
      <c r="WU13" s="250"/>
      <c r="WV13" s="250"/>
      <c r="WW13" s="250"/>
      <c r="WX13" s="250"/>
      <c r="WY13" s="250"/>
      <c r="WZ13" s="250"/>
      <c r="XA13" s="250"/>
      <c r="XB13" s="250"/>
      <c r="XC13" s="250"/>
      <c r="XD13" s="250"/>
      <c r="XE13" s="250"/>
      <c r="XF13" s="250"/>
      <c r="XG13" s="250"/>
      <c r="XH13" s="250"/>
      <c r="XI13" s="250"/>
      <c r="XJ13" s="250"/>
      <c r="XK13" s="250"/>
      <c r="XL13" s="250"/>
      <c r="XM13" s="250"/>
      <c r="XN13" s="250"/>
      <c r="XO13" s="250"/>
      <c r="XP13" s="250"/>
      <c r="XQ13" s="250"/>
      <c r="XR13" s="250"/>
      <c r="XS13" s="250"/>
      <c r="XT13" s="250"/>
      <c r="XU13" s="250"/>
      <c r="XV13" s="250"/>
      <c r="XW13" s="250"/>
      <c r="XX13" s="250"/>
      <c r="XY13" s="250"/>
      <c r="XZ13" s="250"/>
      <c r="YA13" s="250"/>
      <c r="YB13" s="250"/>
      <c r="YC13" s="250"/>
      <c r="YD13" s="250"/>
      <c r="YE13" s="250"/>
      <c r="YF13" s="250"/>
      <c r="YG13" s="250"/>
      <c r="YH13" s="250"/>
      <c r="YI13" s="250"/>
      <c r="YJ13" s="250"/>
      <c r="YK13" s="250"/>
      <c r="YL13" s="250"/>
      <c r="YM13" s="250"/>
      <c r="YN13" s="250"/>
      <c r="YO13" s="250"/>
      <c r="YP13" s="250"/>
      <c r="YQ13" s="250"/>
      <c r="YR13" s="250"/>
      <c r="YS13" s="250"/>
      <c r="YT13" s="250"/>
      <c r="YU13" s="250"/>
      <c r="YV13" s="250"/>
      <c r="YW13" s="250"/>
      <c r="YX13" s="250"/>
      <c r="YY13" s="250"/>
      <c r="YZ13" s="250"/>
      <c r="ZA13" s="250"/>
      <c r="ZB13" s="250"/>
      <c r="ZC13" s="250"/>
      <c r="ZD13" s="250"/>
      <c r="ZE13" s="250"/>
      <c r="ZF13" s="250"/>
      <c r="ZG13" s="250"/>
      <c r="ZH13" s="250"/>
      <c r="ZI13" s="250"/>
      <c r="ZJ13" s="250"/>
      <c r="ZK13" s="250"/>
      <c r="ZL13" s="250"/>
      <c r="ZM13" s="250"/>
      <c r="ZN13" s="250"/>
      <c r="ZO13" s="250"/>
      <c r="ZP13" s="250"/>
      <c r="ZQ13" s="250"/>
      <c r="ZR13" s="250"/>
      <c r="ZS13" s="250"/>
      <c r="ZT13" s="250"/>
      <c r="ZU13" s="250"/>
      <c r="ZV13" s="250"/>
      <c r="ZW13" s="250"/>
      <c r="ZX13" s="250"/>
      <c r="ZY13" s="250"/>
      <c r="ZZ13" s="250"/>
      <c r="AAA13" s="250"/>
      <c r="AAB13" s="250"/>
      <c r="AAC13" s="250"/>
      <c r="AAD13" s="250"/>
      <c r="AAE13" s="250"/>
      <c r="AAF13" s="250"/>
      <c r="AAG13" s="250"/>
      <c r="AAH13" s="250"/>
      <c r="AAI13" s="250"/>
      <c r="AAJ13" s="250"/>
      <c r="AAK13" s="250"/>
      <c r="AAL13" s="250"/>
      <c r="AAM13" s="250"/>
      <c r="AAN13" s="250"/>
      <c r="AAO13" s="250"/>
      <c r="AAP13" s="250"/>
      <c r="AAQ13" s="250"/>
      <c r="AAR13" s="250"/>
      <c r="AAS13" s="250"/>
      <c r="AAT13" s="250"/>
      <c r="AAU13" s="250"/>
      <c r="AAV13" s="250"/>
      <c r="AAW13" s="250"/>
      <c r="AAX13" s="250"/>
      <c r="AAY13" s="250"/>
      <c r="AAZ13" s="250"/>
      <c r="ABA13" s="250"/>
      <c r="ABB13" s="250"/>
      <c r="ABC13" s="250"/>
      <c r="ABD13" s="250"/>
      <c r="ABE13" s="250"/>
      <c r="ABF13" s="250"/>
      <c r="ABG13" s="250"/>
      <c r="ABH13" s="250"/>
      <c r="ABI13" s="250"/>
      <c r="ABJ13" s="250"/>
      <c r="ABK13" s="250"/>
      <c r="ABL13" s="250"/>
      <c r="ABM13" s="250"/>
      <c r="ABN13" s="250"/>
      <c r="ABO13" s="250"/>
      <c r="ABP13" s="250"/>
      <c r="ABQ13" s="250"/>
      <c r="ABR13" s="250"/>
      <c r="ABS13" s="250"/>
      <c r="ABT13" s="250"/>
      <c r="ABU13" s="250"/>
      <c r="ABV13" s="250"/>
      <c r="ABW13" s="250"/>
      <c r="ABX13" s="250"/>
      <c r="ABY13" s="250"/>
      <c r="ABZ13" s="250"/>
      <c r="ACA13" s="250"/>
      <c r="ACB13" s="250"/>
      <c r="ACC13" s="250"/>
      <c r="ACD13" s="250"/>
      <c r="ACE13" s="250"/>
      <c r="ACF13" s="250"/>
      <c r="ACG13" s="250"/>
      <c r="ACH13" s="250"/>
      <c r="ACI13" s="250"/>
      <c r="ACJ13" s="250"/>
      <c r="ACK13" s="250"/>
      <c r="ACL13" s="250"/>
      <c r="ACM13" s="250"/>
      <c r="ACN13" s="250"/>
      <c r="ACO13" s="250"/>
      <c r="ACP13" s="250"/>
      <c r="ACQ13" s="250"/>
      <c r="ACR13" s="250"/>
      <c r="ACS13" s="250"/>
      <c r="ACT13" s="250"/>
      <c r="ACU13" s="250"/>
      <c r="ACV13" s="250"/>
      <c r="ACW13" s="250"/>
      <c r="ACX13" s="250"/>
      <c r="ACY13" s="250"/>
      <c r="ACZ13" s="250"/>
      <c r="ADA13" s="250"/>
      <c r="ADB13" s="250"/>
      <c r="ADC13" s="250"/>
      <c r="ADD13" s="250"/>
      <c r="ADE13" s="250"/>
      <c r="ADF13" s="250"/>
      <c r="ADG13" s="250"/>
      <c r="ADH13" s="250"/>
      <c r="ADI13" s="250"/>
      <c r="ADJ13" s="250"/>
      <c r="ADK13" s="250"/>
      <c r="ADL13" s="250"/>
      <c r="ADM13" s="250"/>
      <c r="ADN13" s="250"/>
      <c r="ADO13" s="250"/>
      <c r="ADP13" s="250"/>
      <c r="ADQ13" s="250"/>
      <c r="ADR13" s="250"/>
      <c r="ADS13" s="250"/>
      <c r="ADT13" s="250"/>
      <c r="ADU13" s="250"/>
      <c r="ADV13" s="250"/>
      <c r="ADW13" s="250"/>
      <c r="ADX13" s="250"/>
      <c r="ADY13" s="250"/>
      <c r="ADZ13" s="250"/>
      <c r="AEA13" s="250"/>
      <c r="AEB13" s="250"/>
      <c r="AEC13" s="250"/>
      <c r="AED13" s="250"/>
      <c r="AEE13" s="250"/>
      <c r="AEF13" s="250"/>
      <c r="AEG13" s="250"/>
      <c r="AEH13" s="250"/>
      <c r="AEI13" s="250"/>
      <c r="AEJ13" s="250"/>
      <c r="AEK13" s="250"/>
      <c r="AEL13" s="250"/>
      <c r="AEM13" s="250"/>
      <c r="AEN13" s="250"/>
      <c r="AEO13" s="250"/>
      <c r="AEP13" s="250"/>
      <c r="AEQ13" s="250"/>
      <c r="AER13" s="250"/>
      <c r="AES13" s="250"/>
      <c r="AET13" s="250"/>
      <c r="AEU13" s="250"/>
      <c r="AEV13" s="250"/>
      <c r="AEW13" s="250"/>
      <c r="AEX13" s="250"/>
      <c r="AEY13" s="250"/>
      <c r="AEZ13" s="250"/>
      <c r="AFA13" s="250"/>
      <c r="AFB13" s="250"/>
      <c r="AFC13" s="250"/>
      <c r="AFD13" s="250"/>
      <c r="AFE13" s="250"/>
      <c r="AFF13" s="250"/>
      <c r="AFG13" s="250"/>
      <c r="AFH13" s="250"/>
      <c r="AFI13" s="250"/>
      <c r="AFJ13" s="250"/>
      <c r="AFK13" s="250"/>
      <c r="AFL13" s="250"/>
      <c r="AFM13" s="250"/>
      <c r="AFN13" s="250"/>
      <c r="AFO13" s="250"/>
      <c r="AFP13" s="250"/>
      <c r="AFQ13" s="250"/>
      <c r="AFR13" s="250"/>
      <c r="AFS13" s="250"/>
      <c r="AFT13" s="250"/>
      <c r="AFU13" s="250"/>
      <c r="AFV13" s="250"/>
      <c r="AFW13" s="250"/>
      <c r="AFX13" s="250"/>
      <c r="AFY13" s="250"/>
      <c r="AFZ13" s="250"/>
      <c r="AGA13" s="250"/>
      <c r="AGB13" s="250"/>
      <c r="AGC13" s="250"/>
      <c r="AGD13" s="250"/>
      <c r="AGE13" s="250"/>
      <c r="AGF13" s="250"/>
      <c r="AGG13" s="250"/>
      <c r="AGH13" s="250"/>
      <c r="AGI13" s="250"/>
      <c r="AGJ13" s="250"/>
      <c r="AGK13" s="250"/>
      <c r="AGL13" s="250"/>
      <c r="AGM13" s="250"/>
      <c r="AGN13" s="250"/>
      <c r="AGO13" s="250"/>
      <c r="AGP13" s="250"/>
      <c r="AGQ13" s="250"/>
      <c r="AGR13" s="250"/>
      <c r="AGS13" s="250"/>
      <c r="AGT13" s="250"/>
      <c r="AGU13" s="250"/>
      <c r="AGV13" s="250"/>
      <c r="AGW13" s="250"/>
      <c r="AGX13" s="250"/>
      <c r="AGY13" s="250"/>
      <c r="AGZ13" s="250"/>
      <c r="AHA13" s="250"/>
      <c r="AHB13" s="250"/>
      <c r="AHC13" s="250"/>
      <c r="AHD13" s="250"/>
      <c r="AHE13" s="250"/>
      <c r="AHF13" s="250"/>
      <c r="AHG13" s="250"/>
      <c r="AHH13" s="250"/>
      <c r="AHI13" s="250"/>
      <c r="AHJ13" s="250"/>
      <c r="AHK13" s="250"/>
      <c r="AHL13" s="250"/>
      <c r="AHM13" s="250"/>
      <c r="AHN13" s="250"/>
      <c r="AHO13" s="250"/>
      <c r="AHP13" s="250"/>
      <c r="AHQ13" s="250"/>
      <c r="AHR13" s="250"/>
      <c r="AHS13" s="250"/>
      <c r="AHT13" s="250"/>
      <c r="AHU13" s="250"/>
      <c r="AHV13" s="250"/>
      <c r="AHW13" s="250"/>
      <c r="AHX13" s="250"/>
      <c r="AHY13" s="250"/>
      <c r="AHZ13" s="250"/>
      <c r="AIA13" s="250"/>
      <c r="AIB13" s="250"/>
      <c r="AIC13" s="250"/>
      <c r="AID13" s="250"/>
      <c r="AIE13" s="250"/>
      <c r="AIF13" s="250"/>
      <c r="AIG13" s="250"/>
      <c r="AIH13" s="250"/>
      <c r="AII13" s="250"/>
      <c r="AIJ13" s="250"/>
      <c r="AIK13" s="250"/>
      <c r="AIL13" s="250"/>
      <c r="AIM13" s="250"/>
      <c r="AIN13" s="250"/>
      <c r="AIO13" s="250"/>
      <c r="AIP13" s="250"/>
      <c r="AIQ13" s="250"/>
      <c r="AIR13" s="250"/>
      <c r="AIS13" s="250"/>
      <c r="AIT13" s="250"/>
      <c r="AIU13" s="250"/>
      <c r="AIV13" s="250"/>
      <c r="AIW13" s="250"/>
      <c r="AIX13" s="250"/>
      <c r="AIY13" s="250"/>
      <c r="AIZ13" s="250"/>
      <c r="AJA13" s="250"/>
      <c r="AJB13" s="250"/>
      <c r="AJC13" s="250"/>
      <c r="AJD13" s="250"/>
      <c r="AJE13" s="250"/>
      <c r="AJF13" s="250"/>
      <c r="AJG13" s="250"/>
      <c r="AJH13" s="250"/>
      <c r="AJI13" s="250"/>
      <c r="AJJ13" s="250"/>
      <c r="AJK13" s="250"/>
      <c r="AJL13" s="250"/>
      <c r="AJM13" s="250"/>
      <c r="AJN13" s="250"/>
      <c r="AJO13" s="250"/>
      <c r="AJP13" s="250"/>
      <c r="AJQ13" s="250"/>
      <c r="AJR13" s="250"/>
      <c r="AJS13" s="250"/>
      <c r="AJT13" s="250"/>
      <c r="AJU13" s="250"/>
      <c r="AJV13" s="250"/>
      <c r="AJW13" s="250"/>
      <c r="AJX13" s="250"/>
      <c r="AJY13" s="250"/>
      <c r="AJZ13" s="250"/>
      <c r="AKA13" s="250"/>
      <c r="AKB13" s="250"/>
      <c r="AKC13" s="250"/>
      <c r="AKD13" s="250"/>
      <c r="AKE13" s="250"/>
      <c r="AKF13" s="250"/>
      <c r="AKG13" s="250"/>
      <c r="AKH13" s="250"/>
      <c r="AKI13" s="250"/>
      <c r="AKJ13" s="250"/>
      <c r="AKK13" s="250"/>
      <c r="AKL13" s="250"/>
      <c r="AKM13" s="250"/>
      <c r="AKN13" s="250"/>
      <c r="AKO13" s="250"/>
      <c r="AKP13" s="250"/>
      <c r="AKQ13" s="250"/>
      <c r="AKR13" s="250"/>
      <c r="AKS13" s="250"/>
      <c r="AKT13" s="250"/>
      <c r="AKU13" s="250"/>
      <c r="AKV13" s="250"/>
      <c r="AKW13" s="250"/>
      <c r="AKX13" s="250"/>
      <c r="AKY13" s="250"/>
      <c r="AKZ13" s="250"/>
      <c r="ALA13" s="250"/>
      <c r="ALB13" s="250"/>
      <c r="ALC13" s="250"/>
      <c r="ALD13" s="250"/>
      <c r="ALE13" s="250"/>
      <c r="ALF13" s="250"/>
      <c r="ALG13" s="250"/>
      <c r="ALH13" s="250"/>
      <c r="ALI13" s="250"/>
      <c r="ALJ13" s="250"/>
      <c r="ALK13" s="250"/>
      <c r="ALL13" s="250"/>
      <c r="ALM13" s="250"/>
      <c r="ALN13" s="250"/>
      <c r="ALO13" s="250"/>
      <c r="ALP13" s="250"/>
      <c r="ALQ13" s="250"/>
      <c r="ALR13" s="250"/>
      <c r="ALS13" s="250"/>
      <c r="ALT13" s="250"/>
      <c r="ALU13" s="250"/>
      <c r="ALV13" s="250"/>
      <c r="ALW13" s="250"/>
      <c r="ALX13" s="250"/>
      <c r="ALY13" s="250"/>
      <c r="ALZ13" s="250"/>
      <c r="AMA13" s="250"/>
      <c r="AMB13" s="250"/>
      <c r="AMC13" s="250"/>
      <c r="AMD13" s="250"/>
      <c r="AME13" s="250"/>
      <c r="AMF13" s="250"/>
      <c r="AMG13" s="250"/>
      <c r="AMH13" s="250"/>
      <c r="AMI13" s="250"/>
      <c r="AMJ13" s="250"/>
      <c r="AMK13" s="250"/>
      <c r="AML13" s="250"/>
      <c r="AMM13" s="250"/>
      <c r="AMN13" s="250"/>
      <c r="AMO13" s="250"/>
    </row>
    <row r="14" spans="1:1029" s="223" customFormat="1" x14ac:dyDescent="0.25">
      <c r="A14" s="32">
        <v>45420</v>
      </c>
      <c r="B14" s="42" t="s">
        <v>54</v>
      </c>
      <c r="C14" s="309" t="s">
        <v>55</v>
      </c>
      <c r="D14" s="34">
        <v>916919804</v>
      </c>
      <c r="E14" s="42">
        <v>208.8</v>
      </c>
      <c r="F14" s="287">
        <v>45420</v>
      </c>
      <c r="G14" s="352"/>
      <c r="H14" s="139"/>
      <c r="I14" s="140"/>
      <c r="J14" s="141"/>
      <c r="K14" s="134"/>
      <c r="L14" s="305">
        <v>208.8</v>
      </c>
      <c r="M14" s="36"/>
      <c r="N14" s="37"/>
      <c r="O14" s="37"/>
      <c r="P14" s="37">
        <v>174</v>
      </c>
      <c r="Q14" s="37"/>
      <c r="R14" s="37"/>
      <c r="S14" s="37"/>
      <c r="T14" s="37"/>
      <c r="U14" s="37"/>
      <c r="V14" s="37"/>
      <c r="W14" s="37"/>
      <c r="X14" s="37"/>
      <c r="Y14" s="37"/>
      <c r="Z14" s="35"/>
      <c r="AA14" s="35"/>
      <c r="AB14" s="35"/>
      <c r="AC14" s="235"/>
      <c r="AD14" s="350">
        <v>34.799999999999997</v>
      </c>
      <c r="AE14" s="97" t="s">
        <v>56</v>
      </c>
      <c r="AF14" s="265">
        <f t="shared" si="1"/>
        <v>0</v>
      </c>
      <c r="AG14" s="250"/>
      <c r="AH14" s="35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50"/>
      <c r="FB14" s="250"/>
      <c r="FC14" s="250"/>
      <c r="FD14" s="250"/>
      <c r="FE14" s="250"/>
      <c r="FF14" s="250"/>
      <c r="FG14" s="250"/>
      <c r="FH14" s="250"/>
      <c r="FI14" s="250"/>
      <c r="FJ14" s="250"/>
      <c r="FK14" s="250"/>
      <c r="FL14" s="250"/>
      <c r="FM14" s="250"/>
      <c r="FN14" s="250"/>
      <c r="FO14" s="250"/>
      <c r="FP14" s="250"/>
      <c r="FQ14" s="250"/>
      <c r="FR14" s="250"/>
      <c r="FS14" s="250"/>
      <c r="FT14" s="250"/>
      <c r="FU14" s="250"/>
      <c r="FV14" s="250"/>
      <c r="FW14" s="250"/>
      <c r="FX14" s="250"/>
      <c r="FY14" s="250"/>
      <c r="FZ14" s="250"/>
      <c r="GA14" s="250"/>
      <c r="GB14" s="250"/>
      <c r="GC14" s="250"/>
      <c r="GD14" s="250"/>
      <c r="GE14" s="250"/>
      <c r="GF14" s="250"/>
      <c r="GG14" s="250"/>
      <c r="GH14" s="250"/>
      <c r="GI14" s="250"/>
      <c r="GJ14" s="250"/>
      <c r="GK14" s="250"/>
      <c r="GL14" s="250"/>
      <c r="GM14" s="250"/>
      <c r="GN14" s="250"/>
      <c r="GO14" s="250"/>
      <c r="GP14" s="250"/>
      <c r="GQ14" s="250"/>
      <c r="GR14" s="250"/>
      <c r="GS14" s="250"/>
      <c r="GT14" s="250"/>
      <c r="GU14" s="250"/>
      <c r="GV14" s="250"/>
      <c r="GW14" s="250"/>
      <c r="GX14" s="250"/>
      <c r="GY14" s="250"/>
      <c r="GZ14" s="250"/>
      <c r="HA14" s="250"/>
      <c r="HB14" s="250"/>
      <c r="HC14" s="250"/>
      <c r="HD14" s="250"/>
      <c r="HE14" s="250"/>
      <c r="HF14" s="250"/>
      <c r="HG14" s="250"/>
      <c r="HH14" s="250"/>
      <c r="HI14" s="250"/>
      <c r="HJ14" s="250"/>
      <c r="HK14" s="250"/>
      <c r="HL14" s="250"/>
      <c r="HM14" s="250"/>
      <c r="HN14" s="250"/>
      <c r="HO14" s="250"/>
      <c r="HP14" s="250"/>
      <c r="HQ14" s="250"/>
      <c r="HR14" s="250"/>
      <c r="HS14" s="250"/>
      <c r="HT14" s="250"/>
      <c r="HU14" s="250"/>
      <c r="HV14" s="250"/>
      <c r="HW14" s="250"/>
      <c r="HX14" s="250"/>
      <c r="HY14" s="250"/>
      <c r="HZ14" s="250"/>
      <c r="IA14" s="250"/>
      <c r="IB14" s="250"/>
      <c r="IC14" s="250"/>
      <c r="ID14" s="250"/>
      <c r="IE14" s="250"/>
      <c r="IF14" s="250"/>
      <c r="IG14" s="250"/>
      <c r="IH14" s="250"/>
      <c r="II14" s="250"/>
      <c r="IJ14" s="250"/>
      <c r="IK14" s="250"/>
      <c r="IL14" s="250"/>
      <c r="IM14" s="250"/>
      <c r="IN14" s="250"/>
      <c r="IO14" s="250"/>
      <c r="IP14" s="250"/>
      <c r="IQ14" s="250"/>
      <c r="IR14" s="250"/>
      <c r="IS14" s="250"/>
      <c r="IT14" s="250"/>
      <c r="IU14" s="250"/>
      <c r="IV14" s="250"/>
      <c r="IW14" s="250"/>
      <c r="IX14" s="250"/>
      <c r="IY14" s="250"/>
      <c r="IZ14" s="250"/>
      <c r="JA14" s="250"/>
      <c r="JB14" s="250"/>
      <c r="JC14" s="250"/>
      <c r="JD14" s="250"/>
      <c r="JE14" s="250"/>
      <c r="JF14" s="250"/>
      <c r="JG14" s="250"/>
      <c r="JH14" s="250"/>
      <c r="JI14" s="250"/>
      <c r="JJ14" s="250"/>
      <c r="JK14" s="250"/>
      <c r="JL14" s="250"/>
      <c r="JM14" s="250"/>
      <c r="JN14" s="250"/>
      <c r="JO14" s="250"/>
      <c r="JP14" s="250"/>
      <c r="JQ14" s="250"/>
      <c r="JR14" s="250"/>
      <c r="JS14" s="250"/>
      <c r="JT14" s="250"/>
      <c r="JU14" s="250"/>
      <c r="JV14" s="250"/>
      <c r="JW14" s="250"/>
      <c r="JX14" s="250"/>
      <c r="JY14" s="250"/>
      <c r="JZ14" s="250"/>
      <c r="KA14" s="250"/>
      <c r="KB14" s="250"/>
      <c r="KC14" s="250"/>
      <c r="KD14" s="250"/>
      <c r="KE14" s="250"/>
      <c r="KF14" s="250"/>
      <c r="KG14" s="250"/>
      <c r="KH14" s="250"/>
      <c r="KI14" s="250"/>
      <c r="KJ14" s="250"/>
      <c r="KK14" s="250"/>
      <c r="KL14" s="250"/>
      <c r="KM14" s="250"/>
      <c r="KN14" s="250"/>
      <c r="KO14" s="250"/>
      <c r="KP14" s="250"/>
      <c r="KQ14" s="250"/>
      <c r="KR14" s="250"/>
      <c r="KS14" s="250"/>
      <c r="KT14" s="250"/>
      <c r="KU14" s="250"/>
      <c r="KV14" s="250"/>
      <c r="KW14" s="250"/>
      <c r="KX14" s="250"/>
      <c r="KY14" s="250"/>
      <c r="KZ14" s="250"/>
      <c r="LA14" s="250"/>
      <c r="LB14" s="250"/>
      <c r="LC14" s="250"/>
      <c r="LD14" s="250"/>
      <c r="LE14" s="250"/>
      <c r="LF14" s="250"/>
      <c r="LG14" s="250"/>
      <c r="LH14" s="250"/>
      <c r="LI14" s="250"/>
      <c r="LJ14" s="250"/>
      <c r="LK14" s="250"/>
      <c r="LL14" s="250"/>
      <c r="LM14" s="250"/>
      <c r="LN14" s="250"/>
      <c r="LO14" s="250"/>
      <c r="LP14" s="250"/>
      <c r="LQ14" s="250"/>
      <c r="LR14" s="250"/>
      <c r="LS14" s="250"/>
      <c r="LT14" s="250"/>
      <c r="LU14" s="250"/>
      <c r="LV14" s="250"/>
      <c r="LW14" s="250"/>
      <c r="LX14" s="250"/>
      <c r="LY14" s="250"/>
      <c r="LZ14" s="250"/>
      <c r="MA14" s="250"/>
      <c r="MB14" s="250"/>
      <c r="MC14" s="250"/>
      <c r="MD14" s="250"/>
      <c r="ME14" s="250"/>
      <c r="MF14" s="250"/>
      <c r="MG14" s="250"/>
      <c r="MH14" s="250"/>
      <c r="MI14" s="250"/>
      <c r="MJ14" s="250"/>
      <c r="MK14" s="250"/>
      <c r="ML14" s="250"/>
      <c r="MM14" s="250"/>
      <c r="MN14" s="250"/>
      <c r="MO14" s="250"/>
      <c r="MP14" s="250"/>
      <c r="MQ14" s="250"/>
      <c r="MR14" s="250"/>
      <c r="MS14" s="250"/>
      <c r="MT14" s="250"/>
      <c r="MU14" s="250"/>
      <c r="MV14" s="250"/>
      <c r="MW14" s="250"/>
      <c r="MX14" s="250"/>
      <c r="MY14" s="250"/>
      <c r="MZ14" s="250"/>
      <c r="NA14" s="250"/>
      <c r="NB14" s="250"/>
      <c r="NC14" s="250"/>
      <c r="ND14" s="250"/>
      <c r="NE14" s="250"/>
      <c r="NF14" s="250"/>
      <c r="NG14" s="250"/>
      <c r="NH14" s="250"/>
      <c r="NI14" s="250"/>
      <c r="NJ14" s="250"/>
      <c r="NK14" s="250"/>
      <c r="NL14" s="250"/>
      <c r="NM14" s="250"/>
      <c r="NN14" s="250"/>
      <c r="NO14" s="250"/>
      <c r="NP14" s="250"/>
      <c r="NQ14" s="250"/>
      <c r="NR14" s="250"/>
      <c r="NS14" s="250"/>
      <c r="NT14" s="250"/>
      <c r="NU14" s="250"/>
      <c r="NV14" s="250"/>
      <c r="NW14" s="250"/>
      <c r="NX14" s="250"/>
      <c r="NY14" s="250"/>
      <c r="NZ14" s="250"/>
      <c r="OA14" s="250"/>
      <c r="OB14" s="250"/>
      <c r="OC14" s="250"/>
      <c r="OD14" s="250"/>
      <c r="OE14" s="250"/>
      <c r="OF14" s="250"/>
      <c r="OG14" s="250"/>
      <c r="OH14" s="250"/>
      <c r="OI14" s="250"/>
      <c r="OJ14" s="250"/>
      <c r="OK14" s="250"/>
      <c r="OL14" s="250"/>
      <c r="OM14" s="250"/>
      <c r="ON14" s="250"/>
      <c r="OO14" s="250"/>
      <c r="OP14" s="250"/>
      <c r="OQ14" s="250"/>
      <c r="OR14" s="250"/>
      <c r="OS14" s="250"/>
      <c r="OT14" s="250"/>
      <c r="OU14" s="250"/>
      <c r="OV14" s="250"/>
      <c r="OW14" s="250"/>
      <c r="OX14" s="250"/>
      <c r="OY14" s="250"/>
      <c r="OZ14" s="250"/>
      <c r="PA14" s="250"/>
      <c r="PB14" s="250"/>
      <c r="PC14" s="250"/>
      <c r="PD14" s="250"/>
      <c r="PE14" s="250"/>
      <c r="PF14" s="250"/>
      <c r="PG14" s="250"/>
      <c r="PH14" s="250"/>
      <c r="PI14" s="250"/>
      <c r="PJ14" s="250"/>
      <c r="PK14" s="250"/>
      <c r="PL14" s="250"/>
      <c r="PM14" s="250"/>
      <c r="PN14" s="250"/>
      <c r="PO14" s="250"/>
      <c r="PP14" s="250"/>
      <c r="PQ14" s="250"/>
      <c r="PR14" s="250"/>
      <c r="PS14" s="250"/>
      <c r="PT14" s="250"/>
      <c r="PU14" s="250"/>
      <c r="PV14" s="250"/>
      <c r="PW14" s="250"/>
      <c r="PX14" s="250"/>
      <c r="PY14" s="250"/>
      <c r="PZ14" s="250"/>
      <c r="QA14" s="250"/>
      <c r="QB14" s="250"/>
      <c r="QC14" s="250"/>
      <c r="QD14" s="250"/>
      <c r="QE14" s="250"/>
      <c r="QF14" s="250"/>
      <c r="QG14" s="250"/>
      <c r="QH14" s="250"/>
      <c r="QI14" s="250"/>
      <c r="QJ14" s="250"/>
      <c r="QK14" s="250"/>
      <c r="QL14" s="250"/>
      <c r="QM14" s="250"/>
      <c r="QN14" s="250"/>
      <c r="QO14" s="250"/>
      <c r="QP14" s="250"/>
      <c r="QQ14" s="250"/>
      <c r="QR14" s="250"/>
      <c r="QS14" s="250"/>
      <c r="QT14" s="250"/>
      <c r="QU14" s="250"/>
      <c r="QV14" s="250"/>
      <c r="QW14" s="250"/>
      <c r="QX14" s="250"/>
      <c r="QY14" s="250"/>
      <c r="QZ14" s="250"/>
      <c r="RA14" s="250"/>
      <c r="RB14" s="250"/>
      <c r="RC14" s="250"/>
      <c r="RD14" s="250"/>
      <c r="RE14" s="250"/>
      <c r="RF14" s="250"/>
      <c r="RG14" s="250"/>
      <c r="RH14" s="250"/>
      <c r="RI14" s="250"/>
      <c r="RJ14" s="250"/>
      <c r="RK14" s="250"/>
      <c r="RL14" s="250"/>
      <c r="RM14" s="250"/>
      <c r="RN14" s="250"/>
      <c r="RO14" s="250"/>
      <c r="RP14" s="250"/>
      <c r="RQ14" s="250"/>
      <c r="RR14" s="250"/>
      <c r="RS14" s="250"/>
      <c r="RT14" s="250"/>
      <c r="RU14" s="250"/>
      <c r="RV14" s="250"/>
      <c r="RW14" s="250"/>
      <c r="RX14" s="250"/>
      <c r="RY14" s="250"/>
      <c r="RZ14" s="250"/>
      <c r="SA14" s="250"/>
      <c r="SB14" s="250"/>
      <c r="SC14" s="250"/>
      <c r="SD14" s="250"/>
      <c r="SE14" s="250"/>
      <c r="SF14" s="250"/>
      <c r="SG14" s="250"/>
      <c r="SH14" s="250"/>
      <c r="SI14" s="250"/>
      <c r="SJ14" s="250"/>
      <c r="SK14" s="250"/>
      <c r="SL14" s="250"/>
      <c r="SM14" s="250"/>
      <c r="SN14" s="250"/>
      <c r="SO14" s="250"/>
      <c r="SP14" s="250"/>
      <c r="SQ14" s="250"/>
      <c r="SR14" s="250"/>
      <c r="SS14" s="250"/>
      <c r="ST14" s="250"/>
      <c r="SU14" s="250"/>
      <c r="SV14" s="250"/>
      <c r="SW14" s="250"/>
      <c r="SX14" s="250"/>
      <c r="SY14" s="250"/>
      <c r="SZ14" s="250"/>
      <c r="TA14" s="250"/>
      <c r="TB14" s="250"/>
      <c r="TC14" s="250"/>
      <c r="TD14" s="250"/>
      <c r="TE14" s="250"/>
      <c r="TF14" s="250"/>
      <c r="TG14" s="250"/>
      <c r="TH14" s="250"/>
      <c r="TI14" s="250"/>
      <c r="TJ14" s="250"/>
      <c r="TK14" s="250"/>
      <c r="TL14" s="250"/>
      <c r="TM14" s="250"/>
      <c r="TN14" s="250"/>
      <c r="TO14" s="250"/>
      <c r="TP14" s="250"/>
      <c r="TQ14" s="250"/>
      <c r="TR14" s="250"/>
      <c r="TS14" s="250"/>
      <c r="TT14" s="250"/>
      <c r="TU14" s="250"/>
      <c r="TV14" s="250"/>
      <c r="TW14" s="250"/>
      <c r="TX14" s="250"/>
      <c r="TY14" s="250"/>
      <c r="TZ14" s="250"/>
      <c r="UA14" s="250"/>
      <c r="UB14" s="250"/>
      <c r="UC14" s="250"/>
      <c r="UD14" s="250"/>
      <c r="UE14" s="250"/>
      <c r="UF14" s="250"/>
      <c r="UG14" s="250"/>
      <c r="UH14" s="250"/>
      <c r="UI14" s="250"/>
      <c r="UJ14" s="250"/>
      <c r="UK14" s="250"/>
      <c r="UL14" s="250"/>
      <c r="UM14" s="250"/>
      <c r="UN14" s="250"/>
      <c r="UO14" s="250"/>
      <c r="UP14" s="250"/>
      <c r="UQ14" s="250"/>
      <c r="UR14" s="250"/>
      <c r="US14" s="250"/>
      <c r="UT14" s="250"/>
      <c r="UU14" s="250"/>
      <c r="UV14" s="250"/>
      <c r="UW14" s="250"/>
      <c r="UX14" s="250"/>
      <c r="UY14" s="250"/>
      <c r="UZ14" s="250"/>
      <c r="VA14" s="250"/>
      <c r="VB14" s="250"/>
      <c r="VC14" s="250"/>
      <c r="VD14" s="250"/>
      <c r="VE14" s="250"/>
      <c r="VF14" s="250"/>
      <c r="VG14" s="250"/>
      <c r="VH14" s="250"/>
      <c r="VI14" s="250"/>
      <c r="VJ14" s="250"/>
      <c r="VK14" s="250"/>
      <c r="VL14" s="250"/>
      <c r="VM14" s="250"/>
      <c r="VN14" s="250"/>
      <c r="VO14" s="250"/>
      <c r="VP14" s="250"/>
      <c r="VQ14" s="250"/>
      <c r="VR14" s="250"/>
      <c r="VS14" s="250"/>
      <c r="VT14" s="250"/>
      <c r="VU14" s="250"/>
      <c r="VV14" s="250"/>
      <c r="VW14" s="250"/>
      <c r="VX14" s="250"/>
      <c r="VY14" s="250"/>
      <c r="VZ14" s="250"/>
      <c r="WA14" s="250"/>
      <c r="WB14" s="250"/>
      <c r="WC14" s="250"/>
      <c r="WD14" s="250"/>
      <c r="WE14" s="250"/>
      <c r="WF14" s="250"/>
      <c r="WG14" s="250"/>
      <c r="WH14" s="250"/>
      <c r="WI14" s="250"/>
      <c r="WJ14" s="250"/>
      <c r="WK14" s="250"/>
      <c r="WL14" s="250"/>
      <c r="WM14" s="250"/>
      <c r="WN14" s="250"/>
      <c r="WO14" s="250"/>
      <c r="WP14" s="250"/>
      <c r="WQ14" s="250"/>
      <c r="WR14" s="250"/>
      <c r="WS14" s="250"/>
      <c r="WT14" s="250"/>
      <c r="WU14" s="250"/>
      <c r="WV14" s="250"/>
      <c r="WW14" s="250"/>
      <c r="WX14" s="250"/>
      <c r="WY14" s="250"/>
      <c r="WZ14" s="250"/>
      <c r="XA14" s="250"/>
      <c r="XB14" s="250"/>
      <c r="XC14" s="250"/>
      <c r="XD14" s="250"/>
      <c r="XE14" s="250"/>
      <c r="XF14" s="250"/>
      <c r="XG14" s="250"/>
      <c r="XH14" s="250"/>
      <c r="XI14" s="250"/>
      <c r="XJ14" s="250"/>
      <c r="XK14" s="250"/>
      <c r="XL14" s="250"/>
      <c r="XM14" s="250"/>
      <c r="XN14" s="250"/>
      <c r="XO14" s="250"/>
      <c r="XP14" s="250"/>
      <c r="XQ14" s="250"/>
      <c r="XR14" s="250"/>
      <c r="XS14" s="250"/>
      <c r="XT14" s="250"/>
      <c r="XU14" s="250"/>
      <c r="XV14" s="250"/>
      <c r="XW14" s="250"/>
      <c r="XX14" s="250"/>
      <c r="XY14" s="250"/>
      <c r="XZ14" s="250"/>
      <c r="YA14" s="250"/>
      <c r="YB14" s="250"/>
      <c r="YC14" s="250"/>
      <c r="YD14" s="250"/>
      <c r="YE14" s="250"/>
      <c r="YF14" s="250"/>
      <c r="YG14" s="250"/>
      <c r="YH14" s="250"/>
      <c r="YI14" s="250"/>
      <c r="YJ14" s="250"/>
      <c r="YK14" s="250"/>
      <c r="YL14" s="250"/>
      <c r="YM14" s="250"/>
      <c r="YN14" s="250"/>
      <c r="YO14" s="250"/>
      <c r="YP14" s="250"/>
      <c r="YQ14" s="250"/>
      <c r="YR14" s="250"/>
      <c r="YS14" s="250"/>
      <c r="YT14" s="250"/>
      <c r="YU14" s="250"/>
      <c r="YV14" s="250"/>
      <c r="YW14" s="250"/>
      <c r="YX14" s="250"/>
      <c r="YY14" s="250"/>
      <c r="YZ14" s="250"/>
      <c r="ZA14" s="250"/>
      <c r="ZB14" s="250"/>
      <c r="ZC14" s="250"/>
      <c r="ZD14" s="250"/>
      <c r="ZE14" s="250"/>
      <c r="ZF14" s="250"/>
      <c r="ZG14" s="250"/>
      <c r="ZH14" s="250"/>
      <c r="ZI14" s="250"/>
      <c r="ZJ14" s="250"/>
      <c r="ZK14" s="250"/>
      <c r="ZL14" s="250"/>
      <c r="ZM14" s="250"/>
      <c r="ZN14" s="250"/>
      <c r="ZO14" s="250"/>
      <c r="ZP14" s="250"/>
      <c r="ZQ14" s="250"/>
      <c r="ZR14" s="250"/>
      <c r="ZS14" s="250"/>
      <c r="ZT14" s="250"/>
      <c r="ZU14" s="250"/>
      <c r="ZV14" s="250"/>
      <c r="ZW14" s="250"/>
      <c r="ZX14" s="250"/>
      <c r="ZY14" s="250"/>
      <c r="ZZ14" s="250"/>
      <c r="AAA14" s="250"/>
      <c r="AAB14" s="250"/>
      <c r="AAC14" s="250"/>
      <c r="AAD14" s="250"/>
      <c r="AAE14" s="250"/>
      <c r="AAF14" s="250"/>
      <c r="AAG14" s="250"/>
      <c r="AAH14" s="250"/>
      <c r="AAI14" s="250"/>
      <c r="AAJ14" s="250"/>
      <c r="AAK14" s="250"/>
      <c r="AAL14" s="250"/>
      <c r="AAM14" s="250"/>
      <c r="AAN14" s="250"/>
      <c r="AAO14" s="250"/>
      <c r="AAP14" s="250"/>
      <c r="AAQ14" s="250"/>
      <c r="AAR14" s="250"/>
      <c r="AAS14" s="250"/>
      <c r="AAT14" s="250"/>
      <c r="AAU14" s="250"/>
      <c r="AAV14" s="250"/>
      <c r="AAW14" s="250"/>
      <c r="AAX14" s="250"/>
      <c r="AAY14" s="250"/>
      <c r="AAZ14" s="250"/>
      <c r="ABA14" s="250"/>
      <c r="ABB14" s="250"/>
      <c r="ABC14" s="250"/>
      <c r="ABD14" s="250"/>
      <c r="ABE14" s="250"/>
      <c r="ABF14" s="250"/>
      <c r="ABG14" s="250"/>
      <c r="ABH14" s="250"/>
      <c r="ABI14" s="250"/>
      <c r="ABJ14" s="250"/>
      <c r="ABK14" s="250"/>
      <c r="ABL14" s="250"/>
      <c r="ABM14" s="250"/>
      <c r="ABN14" s="250"/>
      <c r="ABO14" s="250"/>
      <c r="ABP14" s="250"/>
      <c r="ABQ14" s="250"/>
      <c r="ABR14" s="250"/>
      <c r="ABS14" s="250"/>
      <c r="ABT14" s="250"/>
      <c r="ABU14" s="250"/>
      <c r="ABV14" s="250"/>
      <c r="ABW14" s="250"/>
      <c r="ABX14" s="250"/>
      <c r="ABY14" s="250"/>
      <c r="ABZ14" s="250"/>
      <c r="ACA14" s="250"/>
      <c r="ACB14" s="250"/>
      <c r="ACC14" s="250"/>
      <c r="ACD14" s="250"/>
      <c r="ACE14" s="250"/>
      <c r="ACF14" s="250"/>
      <c r="ACG14" s="250"/>
      <c r="ACH14" s="250"/>
      <c r="ACI14" s="250"/>
      <c r="ACJ14" s="250"/>
      <c r="ACK14" s="250"/>
      <c r="ACL14" s="250"/>
      <c r="ACM14" s="250"/>
      <c r="ACN14" s="250"/>
      <c r="ACO14" s="250"/>
      <c r="ACP14" s="250"/>
      <c r="ACQ14" s="250"/>
      <c r="ACR14" s="250"/>
      <c r="ACS14" s="250"/>
      <c r="ACT14" s="250"/>
      <c r="ACU14" s="250"/>
      <c r="ACV14" s="250"/>
      <c r="ACW14" s="250"/>
      <c r="ACX14" s="250"/>
      <c r="ACY14" s="250"/>
      <c r="ACZ14" s="250"/>
      <c r="ADA14" s="250"/>
      <c r="ADB14" s="250"/>
      <c r="ADC14" s="250"/>
      <c r="ADD14" s="250"/>
      <c r="ADE14" s="250"/>
      <c r="ADF14" s="250"/>
      <c r="ADG14" s="250"/>
      <c r="ADH14" s="250"/>
      <c r="ADI14" s="250"/>
      <c r="ADJ14" s="250"/>
      <c r="ADK14" s="250"/>
      <c r="ADL14" s="250"/>
      <c r="ADM14" s="250"/>
      <c r="ADN14" s="250"/>
      <c r="ADO14" s="250"/>
      <c r="ADP14" s="250"/>
      <c r="ADQ14" s="250"/>
      <c r="ADR14" s="250"/>
      <c r="ADS14" s="250"/>
      <c r="ADT14" s="250"/>
      <c r="ADU14" s="250"/>
      <c r="ADV14" s="250"/>
      <c r="ADW14" s="250"/>
      <c r="ADX14" s="250"/>
      <c r="ADY14" s="250"/>
      <c r="ADZ14" s="250"/>
      <c r="AEA14" s="250"/>
      <c r="AEB14" s="250"/>
      <c r="AEC14" s="250"/>
      <c r="AED14" s="250"/>
      <c r="AEE14" s="250"/>
      <c r="AEF14" s="250"/>
      <c r="AEG14" s="250"/>
      <c r="AEH14" s="250"/>
      <c r="AEI14" s="250"/>
      <c r="AEJ14" s="250"/>
      <c r="AEK14" s="250"/>
      <c r="AEL14" s="250"/>
      <c r="AEM14" s="250"/>
      <c r="AEN14" s="250"/>
      <c r="AEO14" s="250"/>
      <c r="AEP14" s="250"/>
      <c r="AEQ14" s="250"/>
      <c r="AER14" s="250"/>
      <c r="AES14" s="250"/>
      <c r="AET14" s="250"/>
      <c r="AEU14" s="250"/>
      <c r="AEV14" s="250"/>
      <c r="AEW14" s="250"/>
      <c r="AEX14" s="250"/>
      <c r="AEY14" s="250"/>
      <c r="AEZ14" s="250"/>
      <c r="AFA14" s="250"/>
      <c r="AFB14" s="250"/>
      <c r="AFC14" s="250"/>
      <c r="AFD14" s="250"/>
      <c r="AFE14" s="250"/>
      <c r="AFF14" s="250"/>
      <c r="AFG14" s="250"/>
      <c r="AFH14" s="250"/>
      <c r="AFI14" s="250"/>
      <c r="AFJ14" s="250"/>
      <c r="AFK14" s="250"/>
      <c r="AFL14" s="250"/>
      <c r="AFM14" s="250"/>
      <c r="AFN14" s="250"/>
      <c r="AFO14" s="250"/>
      <c r="AFP14" s="250"/>
      <c r="AFQ14" s="250"/>
      <c r="AFR14" s="250"/>
      <c r="AFS14" s="250"/>
      <c r="AFT14" s="250"/>
      <c r="AFU14" s="250"/>
      <c r="AFV14" s="250"/>
      <c r="AFW14" s="250"/>
      <c r="AFX14" s="250"/>
      <c r="AFY14" s="250"/>
      <c r="AFZ14" s="250"/>
      <c r="AGA14" s="250"/>
      <c r="AGB14" s="250"/>
      <c r="AGC14" s="250"/>
      <c r="AGD14" s="250"/>
      <c r="AGE14" s="250"/>
      <c r="AGF14" s="250"/>
      <c r="AGG14" s="250"/>
      <c r="AGH14" s="250"/>
      <c r="AGI14" s="250"/>
      <c r="AGJ14" s="250"/>
      <c r="AGK14" s="250"/>
      <c r="AGL14" s="250"/>
      <c r="AGM14" s="250"/>
      <c r="AGN14" s="250"/>
      <c r="AGO14" s="250"/>
      <c r="AGP14" s="250"/>
      <c r="AGQ14" s="250"/>
      <c r="AGR14" s="250"/>
      <c r="AGS14" s="250"/>
      <c r="AGT14" s="250"/>
      <c r="AGU14" s="250"/>
      <c r="AGV14" s="250"/>
      <c r="AGW14" s="250"/>
      <c r="AGX14" s="250"/>
      <c r="AGY14" s="250"/>
      <c r="AGZ14" s="250"/>
      <c r="AHA14" s="250"/>
      <c r="AHB14" s="250"/>
      <c r="AHC14" s="250"/>
      <c r="AHD14" s="250"/>
      <c r="AHE14" s="250"/>
      <c r="AHF14" s="250"/>
      <c r="AHG14" s="250"/>
      <c r="AHH14" s="250"/>
      <c r="AHI14" s="250"/>
      <c r="AHJ14" s="250"/>
      <c r="AHK14" s="250"/>
      <c r="AHL14" s="250"/>
      <c r="AHM14" s="250"/>
      <c r="AHN14" s="250"/>
      <c r="AHO14" s="250"/>
      <c r="AHP14" s="250"/>
      <c r="AHQ14" s="250"/>
      <c r="AHR14" s="250"/>
      <c r="AHS14" s="250"/>
      <c r="AHT14" s="250"/>
      <c r="AHU14" s="250"/>
      <c r="AHV14" s="250"/>
      <c r="AHW14" s="250"/>
      <c r="AHX14" s="250"/>
      <c r="AHY14" s="250"/>
      <c r="AHZ14" s="250"/>
      <c r="AIA14" s="250"/>
      <c r="AIB14" s="250"/>
      <c r="AIC14" s="250"/>
      <c r="AID14" s="250"/>
      <c r="AIE14" s="250"/>
      <c r="AIF14" s="250"/>
      <c r="AIG14" s="250"/>
      <c r="AIH14" s="250"/>
      <c r="AII14" s="250"/>
      <c r="AIJ14" s="250"/>
      <c r="AIK14" s="250"/>
      <c r="AIL14" s="250"/>
      <c r="AIM14" s="250"/>
      <c r="AIN14" s="250"/>
      <c r="AIO14" s="250"/>
      <c r="AIP14" s="250"/>
      <c r="AIQ14" s="250"/>
      <c r="AIR14" s="250"/>
      <c r="AIS14" s="250"/>
      <c r="AIT14" s="250"/>
      <c r="AIU14" s="250"/>
      <c r="AIV14" s="250"/>
      <c r="AIW14" s="250"/>
      <c r="AIX14" s="250"/>
      <c r="AIY14" s="250"/>
      <c r="AIZ14" s="250"/>
      <c r="AJA14" s="250"/>
      <c r="AJB14" s="250"/>
      <c r="AJC14" s="250"/>
      <c r="AJD14" s="250"/>
      <c r="AJE14" s="250"/>
      <c r="AJF14" s="250"/>
      <c r="AJG14" s="250"/>
      <c r="AJH14" s="250"/>
      <c r="AJI14" s="250"/>
      <c r="AJJ14" s="250"/>
      <c r="AJK14" s="250"/>
      <c r="AJL14" s="250"/>
      <c r="AJM14" s="250"/>
      <c r="AJN14" s="250"/>
      <c r="AJO14" s="250"/>
      <c r="AJP14" s="250"/>
      <c r="AJQ14" s="250"/>
      <c r="AJR14" s="250"/>
      <c r="AJS14" s="250"/>
      <c r="AJT14" s="250"/>
      <c r="AJU14" s="250"/>
      <c r="AJV14" s="250"/>
      <c r="AJW14" s="250"/>
      <c r="AJX14" s="250"/>
      <c r="AJY14" s="250"/>
      <c r="AJZ14" s="250"/>
      <c r="AKA14" s="250"/>
      <c r="AKB14" s="250"/>
      <c r="AKC14" s="250"/>
      <c r="AKD14" s="250"/>
      <c r="AKE14" s="250"/>
      <c r="AKF14" s="250"/>
      <c r="AKG14" s="250"/>
      <c r="AKH14" s="250"/>
      <c r="AKI14" s="250"/>
      <c r="AKJ14" s="250"/>
      <c r="AKK14" s="250"/>
      <c r="AKL14" s="250"/>
      <c r="AKM14" s="250"/>
      <c r="AKN14" s="250"/>
      <c r="AKO14" s="250"/>
      <c r="AKP14" s="250"/>
      <c r="AKQ14" s="250"/>
      <c r="AKR14" s="250"/>
      <c r="AKS14" s="250"/>
      <c r="AKT14" s="250"/>
      <c r="AKU14" s="250"/>
      <c r="AKV14" s="250"/>
      <c r="AKW14" s="250"/>
      <c r="AKX14" s="250"/>
      <c r="AKY14" s="250"/>
      <c r="AKZ14" s="250"/>
      <c r="ALA14" s="250"/>
      <c r="ALB14" s="250"/>
      <c r="ALC14" s="250"/>
      <c r="ALD14" s="250"/>
      <c r="ALE14" s="250"/>
      <c r="ALF14" s="250"/>
      <c r="ALG14" s="250"/>
      <c r="ALH14" s="250"/>
      <c r="ALI14" s="250"/>
      <c r="ALJ14" s="250"/>
      <c r="ALK14" s="250"/>
      <c r="ALL14" s="250"/>
      <c r="ALM14" s="250"/>
      <c r="ALN14" s="250"/>
      <c r="ALO14" s="250"/>
      <c r="ALP14" s="250"/>
      <c r="ALQ14" s="250"/>
      <c r="ALR14" s="250"/>
      <c r="ALS14" s="250"/>
      <c r="ALT14" s="250"/>
      <c r="ALU14" s="250"/>
      <c r="ALV14" s="250"/>
      <c r="ALW14" s="250"/>
      <c r="ALX14" s="250"/>
      <c r="ALY14" s="250"/>
      <c r="ALZ14" s="250"/>
      <c r="AMA14" s="250"/>
      <c r="AMB14" s="250"/>
      <c r="AMC14" s="250"/>
      <c r="AMD14" s="250"/>
      <c r="AME14" s="250"/>
      <c r="AMF14" s="250"/>
      <c r="AMG14" s="250"/>
      <c r="AMH14" s="250"/>
      <c r="AMI14" s="250"/>
      <c r="AMJ14" s="250"/>
      <c r="AMK14" s="250"/>
      <c r="AML14" s="250"/>
      <c r="AMM14" s="250"/>
      <c r="AMN14" s="250"/>
      <c r="AMO14" s="250"/>
    </row>
    <row r="15" spans="1:1029" s="223" customFormat="1" x14ac:dyDescent="0.25">
      <c r="A15" s="32">
        <v>45421</v>
      </c>
      <c r="B15" s="253" t="s">
        <v>42</v>
      </c>
      <c r="C15" s="309" t="s">
        <v>57</v>
      </c>
      <c r="D15" s="34">
        <v>138780724</v>
      </c>
      <c r="E15" s="42">
        <v>1075.8</v>
      </c>
      <c r="F15" s="43">
        <v>45421</v>
      </c>
      <c r="G15" s="355"/>
      <c r="H15" s="45"/>
      <c r="I15" s="37"/>
      <c r="J15" s="37"/>
      <c r="K15" s="46"/>
      <c r="L15" s="305">
        <v>570</v>
      </c>
      <c r="M15" s="36"/>
      <c r="N15" s="37"/>
      <c r="O15" s="37">
        <v>475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237"/>
      <c r="AD15" s="350">
        <v>95</v>
      </c>
      <c r="AE15" s="97" t="s">
        <v>44</v>
      </c>
      <c r="AF15" s="265">
        <f t="shared" si="1"/>
        <v>0</v>
      </c>
      <c r="AG15" s="250"/>
      <c r="AH15" s="37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  <c r="EJ15" s="250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50"/>
      <c r="FB15" s="250"/>
      <c r="FC15" s="250"/>
      <c r="FD15" s="250"/>
      <c r="FE15" s="250"/>
      <c r="FF15" s="250"/>
      <c r="FG15" s="250"/>
      <c r="FH15" s="250"/>
      <c r="FI15" s="250"/>
      <c r="FJ15" s="250"/>
      <c r="FK15" s="250"/>
      <c r="FL15" s="250"/>
      <c r="FM15" s="250"/>
      <c r="FN15" s="250"/>
      <c r="FO15" s="250"/>
      <c r="FP15" s="250"/>
      <c r="FQ15" s="250"/>
      <c r="FR15" s="250"/>
      <c r="FS15" s="250"/>
      <c r="FT15" s="250"/>
      <c r="FU15" s="250"/>
      <c r="FV15" s="250"/>
      <c r="FW15" s="250"/>
      <c r="FX15" s="250"/>
      <c r="FY15" s="250"/>
      <c r="FZ15" s="250"/>
      <c r="GA15" s="250"/>
      <c r="GB15" s="250"/>
      <c r="GC15" s="250"/>
      <c r="GD15" s="250"/>
      <c r="GE15" s="250"/>
      <c r="GF15" s="250"/>
      <c r="GG15" s="250"/>
      <c r="GH15" s="250"/>
      <c r="GI15" s="250"/>
      <c r="GJ15" s="250"/>
      <c r="GK15" s="250"/>
      <c r="GL15" s="250"/>
      <c r="GM15" s="250"/>
      <c r="GN15" s="250"/>
      <c r="GO15" s="250"/>
      <c r="GP15" s="250"/>
      <c r="GQ15" s="250"/>
      <c r="GR15" s="250"/>
      <c r="GS15" s="250"/>
      <c r="GT15" s="250"/>
      <c r="GU15" s="250"/>
      <c r="GV15" s="250"/>
      <c r="GW15" s="250"/>
      <c r="GX15" s="250"/>
      <c r="GY15" s="250"/>
      <c r="GZ15" s="250"/>
      <c r="HA15" s="250"/>
      <c r="HB15" s="250"/>
      <c r="HC15" s="250"/>
      <c r="HD15" s="250"/>
      <c r="HE15" s="250"/>
      <c r="HF15" s="250"/>
      <c r="HG15" s="250"/>
      <c r="HH15" s="250"/>
      <c r="HI15" s="250"/>
      <c r="HJ15" s="250"/>
      <c r="HK15" s="250"/>
      <c r="HL15" s="250"/>
      <c r="HM15" s="250"/>
      <c r="HN15" s="250"/>
      <c r="HO15" s="250"/>
      <c r="HP15" s="250"/>
      <c r="HQ15" s="250"/>
      <c r="HR15" s="250"/>
      <c r="HS15" s="250"/>
      <c r="HT15" s="250"/>
      <c r="HU15" s="250"/>
      <c r="HV15" s="250"/>
      <c r="HW15" s="250"/>
      <c r="HX15" s="250"/>
      <c r="HY15" s="250"/>
      <c r="HZ15" s="250"/>
      <c r="IA15" s="250"/>
      <c r="IB15" s="250"/>
      <c r="IC15" s="250"/>
      <c r="ID15" s="250"/>
      <c r="IE15" s="250"/>
      <c r="IF15" s="250"/>
      <c r="IG15" s="250"/>
      <c r="IH15" s="250"/>
      <c r="II15" s="250"/>
      <c r="IJ15" s="250"/>
      <c r="IK15" s="250"/>
      <c r="IL15" s="250"/>
      <c r="IM15" s="250"/>
      <c r="IN15" s="250"/>
      <c r="IO15" s="250"/>
      <c r="IP15" s="250"/>
      <c r="IQ15" s="250"/>
      <c r="IR15" s="250"/>
      <c r="IS15" s="250"/>
      <c r="IT15" s="250"/>
      <c r="IU15" s="250"/>
      <c r="IV15" s="250"/>
      <c r="IW15" s="250"/>
      <c r="IX15" s="250"/>
      <c r="IY15" s="250"/>
      <c r="IZ15" s="250"/>
      <c r="JA15" s="250"/>
      <c r="JB15" s="250"/>
      <c r="JC15" s="250"/>
      <c r="JD15" s="250"/>
      <c r="JE15" s="250"/>
      <c r="JF15" s="250"/>
      <c r="JG15" s="250"/>
      <c r="JH15" s="250"/>
      <c r="JI15" s="250"/>
      <c r="JJ15" s="250"/>
      <c r="JK15" s="250"/>
      <c r="JL15" s="250"/>
      <c r="JM15" s="250"/>
      <c r="JN15" s="250"/>
      <c r="JO15" s="250"/>
      <c r="JP15" s="250"/>
      <c r="JQ15" s="250"/>
      <c r="JR15" s="250"/>
      <c r="JS15" s="250"/>
      <c r="JT15" s="250"/>
      <c r="JU15" s="250"/>
      <c r="JV15" s="250"/>
      <c r="JW15" s="250"/>
      <c r="JX15" s="250"/>
      <c r="JY15" s="250"/>
      <c r="JZ15" s="250"/>
      <c r="KA15" s="250"/>
      <c r="KB15" s="250"/>
      <c r="KC15" s="250"/>
      <c r="KD15" s="250"/>
      <c r="KE15" s="250"/>
      <c r="KF15" s="250"/>
      <c r="KG15" s="250"/>
      <c r="KH15" s="250"/>
      <c r="KI15" s="250"/>
      <c r="KJ15" s="250"/>
      <c r="KK15" s="250"/>
      <c r="KL15" s="250"/>
      <c r="KM15" s="250"/>
      <c r="KN15" s="250"/>
      <c r="KO15" s="250"/>
      <c r="KP15" s="250"/>
      <c r="KQ15" s="250"/>
      <c r="KR15" s="250"/>
      <c r="KS15" s="250"/>
      <c r="KT15" s="250"/>
      <c r="KU15" s="250"/>
      <c r="KV15" s="250"/>
      <c r="KW15" s="250"/>
      <c r="KX15" s="250"/>
      <c r="KY15" s="250"/>
      <c r="KZ15" s="250"/>
      <c r="LA15" s="250"/>
      <c r="LB15" s="250"/>
      <c r="LC15" s="250"/>
      <c r="LD15" s="250"/>
      <c r="LE15" s="250"/>
      <c r="LF15" s="250"/>
      <c r="LG15" s="250"/>
      <c r="LH15" s="250"/>
      <c r="LI15" s="250"/>
      <c r="LJ15" s="250"/>
      <c r="LK15" s="250"/>
      <c r="LL15" s="250"/>
      <c r="LM15" s="250"/>
      <c r="LN15" s="250"/>
      <c r="LO15" s="250"/>
      <c r="LP15" s="250"/>
      <c r="LQ15" s="250"/>
      <c r="LR15" s="250"/>
      <c r="LS15" s="250"/>
      <c r="LT15" s="250"/>
      <c r="LU15" s="250"/>
      <c r="LV15" s="250"/>
      <c r="LW15" s="250"/>
      <c r="LX15" s="250"/>
      <c r="LY15" s="250"/>
      <c r="LZ15" s="250"/>
      <c r="MA15" s="250"/>
      <c r="MB15" s="250"/>
      <c r="MC15" s="250"/>
      <c r="MD15" s="250"/>
      <c r="ME15" s="250"/>
      <c r="MF15" s="250"/>
      <c r="MG15" s="250"/>
      <c r="MH15" s="250"/>
      <c r="MI15" s="250"/>
      <c r="MJ15" s="250"/>
      <c r="MK15" s="250"/>
      <c r="ML15" s="250"/>
      <c r="MM15" s="250"/>
      <c r="MN15" s="250"/>
      <c r="MO15" s="250"/>
      <c r="MP15" s="250"/>
      <c r="MQ15" s="250"/>
      <c r="MR15" s="250"/>
      <c r="MS15" s="250"/>
      <c r="MT15" s="250"/>
      <c r="MU15" s="250"/>
      <c r="MV15" s="250"/>
      <c r="MW15" s="250"/>
      <c r="MX15" s="250"/>
      <c r="MY15" s="250"/>
      <c r="MZ15" s="250"/>
      <c r="NA15" s="250"/>
      <c r="NB15" s="250"/>
      <c r="NC15" s="250"/>
      <c r="ND15" s="250"/>
      <c r="NE15" s="250"/>
      <c r="NF15" s="250"/>
      <c r="NG15" s="250"/>
      <c r="NH15" s="250"/>
      <c r="NI15" s="250"/>
      <c r="NJ15" s="250"/>
      <c r="NK15" s="250"/>
      <c r="NL15" s="250"/>
      <c r="NM15" s="250"/>
      <c r="NN15" s="250"/>
      <c r="NO15" s="250"/>
      <c r="NP15" s="250"/>
      <c r="NQ15" s="250"/>
      <c r="NR15" s="250"/>
      <c r="NS15" s="250"/>
      <c r="NT15" s="250"/>
      <c r="NU15" s="250"/>
      <c r="NV15" s="250"/>
      <c r="NW15" s="250"/>
      <c r="NX15" s="250"/>
      <c r="NY15" s="250"/>
      <c r="NZ15" s="250"/>
      <c r="OA15" s="250"/>
      <c r="OB15" s="250"/>
      <c r="OC15" s="250"/>
      <c r="OD15" s="250"/>
      <c r="OE15" s="250"/>
      <c r="OF15" s="250"/>
      <c r="OG15" s="250"/>
      <c r="OH15" s="250"/>
      <c r="OI15" s="250"/>
      <c r="OJ15" s="250"/>
      <c r="OK15" s="250"/>
      <c r="OL15" s="250"/>
      <c r="OM15" s="250"/>
      <c r="ON15" s="250"/>
      <c r="OO15" s="250"/>
      <c r="OP15" s="250"/>
      <c r="OQ15" s="250"/>
      <c r="OR15" s="250"/>
      <c r="OS15" s="250"/>
      <c r="OT15" s="250"/>
      <c r="OU15" s="250"/>
      <c r="OV15" s="250"/>
      <c r="OW15" s="250"/>
      <c r="OX15" s="250"/>
      <c r="OY15" s="250"/>
      <c r="OZ15" s="250"/>
      <c r="PA15" s="250"/>
      <c r="PB15" s="250"/>
      <c r="PC15" s="250"/>
      <c r="PD15" s="250"/>
      <c r="PE15" s="250"/>
      <c r="PF15" s="250"/>
      <c r="PG15" s="250"/>
      <c r="PH15" s="250"/>
      <c r="PI15" s="250"/>
      <c r="PJ15" s="250"/>
      <c r="PK15" s="250"/>
      <c r="PL15" s="250"/>
      <c r="PM15" s="250"/>
      <c r="PN15" s="250"/>
      <c r="PO15" s="250"/>
      <c r="PP15" s="250"/>
      <c r="PQ15" s="250"/>
      <c r="PR15" s="250"/>
      <c r="PS15" s="250"/>
      <c r="PT15" s="250"/>
      <c r="PU15" s="250"/>
      <c r="PV15" s="250"/>
      <c r="PW15" s="250"/>
      <c r="PX15" s="250"/>
      <c r="PY15" s="250"/>
      <c r="PZ15" s="250"/>
      <c r="QA15" s="250"/>
      <c r="QB15" s="250"/>
      <c r="QC15" s="250"/>
      <c r="QD15" s="250"/>
      <c r="QE15" s="250"/>
      <c r="QF15" s="250"/>
      <c r="QG15" s="250"/>
      <c r="QH15" s="250"/>
      <c r="QI15" s="250"/>
      <c r="QJ15" s="250"/>
      <c r="QK15" s="250"/>
      <c r="QL15" s="250"/>
      <c r="QM15" s="250"/>
      <c r="QN15" s="250"/>
      <c r="QO15" s="250"/>
      <c r="QP15" s="250"/>
      <c r="QQ15" s="250"/>
      <c r="QR15" s="250"/>
      <c r="QS15" s="250"/>
      <c r="QT15" s="250"/>
      <c r="QU15" s="250"/>
      <c r="QV15" s="250"/>
      <c r="QW15" s="250"/>
      <c r="QX15" s="250"/>
      <c r="QY15" s="250"/>
      <c r="QZ15" s="250"/>
      <c r="RA15" s="250"/>
      <c r="RB15" s="250"/>
      <c r="RC15" s="250"/>
      <c r="RD15" s="250"/>
      <c r="RE15" s="250"/>
      <c r="RF15" s="250"/>
      <c r="RG15" s="250"/>
      <c r="RH15" s="250"/>
      <c r="RI15" s="250"/>
      <c r="RJ15" s="250"/>
      <c r="RK15" s="250"/>
      <c r="RL15" s="250"/>
      <c r="RM15" s="250"/>
      <c r="RN15" s="250"/>
      <c r="RO15" s="250"/>
      <c r="RP15" s="250"/>
      <c r="RQ15" s="250"/>
      <c r="RR15" s="250"/>
      <c r="RS15" s="250"/>
      <c r="RT15" s="250"/>
      <c r="RU15" s="250"/>
      <c r="RV15" s="250"/>
      <c r="RW15" s="250"/>
      <c r="RX15" s="250"/>
      <c r="RY15" s="250"/>
      <c r="RZ15" s="250"/>
      <c r="SA15" s="250"/>
      <c r="SB15" s="250"/>
      <c r="SC15" s="250"/>
      <c r="SD15" s="250"/>
      <c r="SE15" s="250"/>
      <c r="SF15" s="250"/>
      <c r="SG15" s="250"/>
      <c r="SH15" s="250"/>
      <c r="SI15" s="250"/>
      <c r="SJ15" s="250"/>
      <c r="SK15" s="250"/>
      <c r="SL15" s="250"/>
      <c r="SM15" s="250"/>
      <c r="SN15" s="250"/>
      <c r="SO15" s="250"/>
      <c r="SP15" s="250"/>
      <c r="SQ15" s="250"/>
      <c r="SR15" s="250"/>
      <c r="SS15" s="250"/>
      <c r="ST15" s="250"/>
      <c r="SU15" s="250"/>
      <c r="SV15" s="250"/>
      <c r="SW15" s="250"/>
      <c r="SX15" s="250"/>
      <c r="SY15" s="250"/>
      <c r="SZ15" s="250"/>
      <c r="TA15" s="250"/>
      <c r="TB15" s="250"/>
      <c r="TC15" s="250"/>
      <c r="TD15" s="250"/>
      <c r="TE15" s="250"/>
      <c r="TF15" s="250"/>
      <c r="TG15" s="250"/>
      <c r="TH15" s="250"/>
      <c r="TI15" s="250"/>
      <c r="TJ15" s="250"/>
      <c r="TK15" s="250"/>
      <c r="TL15" s="250"/>
      <c r="TM15" s="250"/>
      <c r="TN15" s="250"/>
      <c r="TO15" s="250"/>
      <c r="TP15" s="250"/>
      <c r="TQ15" s="250"/>
      <c r="TR15" s="250"/>
      <c r="TS15" s="250"/>
      <c r="TT15" s="250"/>
      <c r="TU15" s="250"/>
      <c r="TV15" s="250"/>
      <c r="TW15" s="250"/>
      <c r="TX15" s="250"/>
      <c r="TY15" s="250"/>
      <c r="TZ15" s="250"/>
      <c r="UA15" s="250"/>
      <c r="UB15" s="250"/>
      <c r="UC15" s="250"/>
      <c r="UD15" s="250"/>
      <c r="UE15" s="250"/>
      <c r="UF15" s="250"/>
      <c r="UG15" s="250"/>
      <c r="UH15" s="250"/>
      <c r="UI15" s="250"/>
      <c r="UJ15" s="250"/>
      <c r="UK15" s="250"/>
      <c r="UL15" s="250"/>
      <c r="UM15" s="250"/>
      <c r="UN15" s="250"/>
      <c r="UO15" s="250"/>
      <c r="UP15" s="250"/>
      <c r="UQ15" s="250"/>
      <c r="UR15" s="250"/>
      <c r="US15" s="250"/>
      <c r="UT15" s="250"/>
      <c r="UU15" s="250"/>
      <c r="UV15" s="250"/>
      <c r="UW15" s="250"/>
      <c r="UX15" s="250"/>
      <c r="UY15" s="250"/>
      <c r="UZ15" s="250"/>
      <c r="VA15" s="250"/>
      <c r="VB15" s="250"/>
      <c r="VC15" s="250"/>
      <c r="VD15" s="250"/>
      <c r="VE15" s="250"/>
      <c r="VF15" s="250"/>
      <c r="VG15" s="250"/>
      <c r="VH15" s="250"/>
      <c r="VI15" s="250"/>
      <c r="VJ15" s="250"/>
      <c r="VK15" s="250"/>
      <c r="VL15" s="250"/>
      <c r="VM15" s="250"/>
      <c r="VN15" s="250"/>
      <c r="VO15" s="250"/>
      <c r="VP15" s="250"/>
      <c r="VQ15" s="250"/>
      <c r="VR15" s="250"/>
      <c r="VS15" s="250"/>
      <c r="VT15" s="250"/>
      <c r="VU15" s="250"/>
      <c r="VV15" s="250"/>
      <c r="VW15" s="250"/>
      <c r="VX15" s="250"/>
      <c r="VY15" s="250"/>
      <c r="VZ15" s="250"/>
      <c r="WA15" s="250"/>
      <c r="WB15" s="250"/>
      <c r="WC15" s="250"/>
      <c r="WD15" s="250"/>
      <c r="WE15" s="250"/>
      <c r="WF15" s="250"/>
      <c r="WG15" s="250"/>
      <c r="WH15" s="250"/>
      <c r="WI15" s="250"/>
      <c r="WJ15" s="250"/>
      <c r="WK15" s="250"/>
      <c r="WL15" s="250"/>
      <c r="WM15" s="250"/>
      <c r="WN15" s="250"/>
      <c r="WO15" s="250"/>
      <c r="WP15" s="250"/>
      <c r="WQ15" s="250"/>
      <c r="WR15" s="250"/>
      <c r="WS15" s="250"/>
      <c r="WT15" s="250"/>
      <c r="WU15" s="250"/>
      <c r="WV15" s="250"/>
      <c r="WW15" s="250"/>
      <c r="WX15" s="250"/>
      <c r="WY15" s="250"/>
      <c r="WZ15" s="250"/>
      <c r="XA15" s="250"/>
      <c r="XB15" s="250"/>
      <c r="XC15" s="250"/>
      <c r="XD15" s="250"/>
      <c r="XE15" s="250"/>
      <c r="XF15" s="250"/>
      <c r="XG15" s="250"/>
      <c r="XH15" s="250"/>
      <c r="XI15" s="250"/>
      <c r="XJ15" s="250"/>
      <c r="XK15" s="250"/>
      <c r="XL15" s="250"/>
      <c r="XM15" s="250"/>
      <c r="XN15" s="250"/>
      <c r="XO15" s="250"/>
      <c r="XP15" s="250"/>
      <c r="XQ15" s="250"/>
      <c r="XR15" s="250"/>
      <c r="XS15" s="250"/>
      <c r="XT15" s="250"/>
      <c r="XU15" s="250"/>
      <c r="XV15" s="250"/>
      <c r="XW15" s="250"/>
      <c r="XX15" s="250"/>
      <c r="XY15" s="250"/>
      <c r="XZ15" s="250"/>
      <c r="YA15" s="250"/>
      <c r="YB15" s="250"/>
      <c r="YC15" s="250"/>
      <c r="YD15" s="250"/>
      <c r="YE15" s="250"/>
      <c r="YF15" s="250"/>
      <c r="YG15" s="250"/>
      <c r="YH15" s="250"/>
      <c r="YI15" s="250"/>
      <c r="YJ15" s="250"/>
      <c r="YK15" s="250"/>
      <c r="YL15" s="250"/>
      <c r="YM15" s="250"/>
      <c r="YN15" s="250"/>
      <c r="YO15" s="250"/>
      <c r="YP15" s="250"/>
      <c r="YQ15" s="250"/>
      <c r="YR15" s="250"/>
      <c r="YS15" s="250"/>
      <c r="YT15" s="250"/>
      <c r="YU15" s="250"/>
      <c r="YV15" s="250"/>
      <c r="YW15" s="250"/>
      <c r="YX15" s="250"/>
      <c r="YY15" s="250"/>
      <c r="YZ15" s="250"/>
      <c r="ZA15" s="250"/>
      <c r="ZB15" s="250"/>
      <c r="ZC15" s="250"/>
      <c r="ZD15" s="250"/>
      <c r="ZE15" s="250"/>
      <c r="ZF15" s="250"/>
      <c r="ZG15" s="250"/>
      <c r="ZH15" s="250"/>
      <c r="ZI15" s="250"/>
      <c r="ZJ15" s="250"/>
      <c r="ZK15" s="250"/>
      <c r="ZL15" s="250"/>
      <c r="ZM15" s="250"/>
      <c r="ZN15" s="250"/>
      <c r="ZO15" s="250"/>
      <c r="ZP15" s="250"/>
      <c r="ZQ15" s="250"/>
      <c r="ZR15" s="250"/>
      <c r="ZS15" s="250"/>
      <c r="ZT15" s="250"/>
      <c r="ZU15" s="250"/>
      <c r="ZV15" s="250"/>
      <c r="ZW15" s="250"/>
      <c r="ZX15" s="250"/>
      <c r="ZY15" s="250"/>
      <c r="ZZ15" s="250"/>
      <c r="AAA15" s="250"/>
      <c r="AAB15" s="250"/>
      <c r="AAC15" s="250"/>
      <c r="AAD15" s="250"/>
      <c r="AAE15" s="250"/>
      <c r="AAF15" s="250"/>
      <c r="AAG15" s="250"/>
      <c r="AAH15" s="250"/>
      <c r="AAI15" s="250"/>
      <c r="AAJ15" s="250"/>
      <c r="AAK15" s="250"/>
      <c r="AAL15" s="250"/>
      <c r="AAM15" s="250"/>
      <c r="AAN15" s="250"/>
      <c r="AAO15" s="250"/>
      <c r="AAP15" s="250"/>
      <c r="AAQ15" s="250"/>
      <c r="AAR15" s="250"/>
      <c r="AAS15" s="250"/>
      <c r="AAT15" s="250"/>
      <c r="AAU15" s="250"/>
      <c r="AAV15" s="250"/>
      <c r="AAW15" s="250"/>
      <c r="AAX15" s="250"/>
      <c r="AAY15" s="250"/>
      <c r="AAZ15" s="250"/>
      <c r="ABA15" s="250"/>
      <c r="ABB15" s="250"/>
      <c r="ABC15" s="250"/>
      <c r="ABD15" s="250"/>
      <c r="ABE15" s="250"/>
      <c r="ABF15" s="250"/>
      <c r="ABG15" s="250"/>
      <c r="ABH15" s="250"/>
      <c r="ABI15" s="250"/>
      <c r="ABJ15" s="250"/>
      <c r="ABK15" s="250"/>
      <c r="ABL15" s="250"/>
      <c r="ABM15" s="250"/>
      <c r="ABN15" s="250"/>
      <c r="ABO15" s="250"/>
      <c r="ABP15" s="250"/>
      <c r="ABQ15" s="250"/>
      <c r="ABR15" s="250"/>
      <c r="ABS15" s="250"/>
      <c r="ABT15" s="250"/>
      <c r="ABU15" s="250"/>
      <c r="ABV15" s="250"/>
      <c r="ABW15" s="250"/>
      <c r="ABX15" s="250"/>
      <c r="ABY15" s="250"/>
      <c r="ABZ15" s="250"/>
      <c r="ACA15" s="250"/>
      <c r="ACB15" s="250"/>
      <c r="ACC15" s="250"/>
      <c r="ACD15" s="250"/>
      <c r="ACE15" s="250"/>
      <c r="ACF15" s="250"/>
      <c r="ACG15" s="250"/>
      <c r="ACH15" s="250"/>
      <c r="ACI15" s="250"/>
      <c r="ACJ15" s="250"/>
      <c r="ACK15" s="250"/>
      <c r="ACL15" s="250"/>
      <c r="ACM15" s="250"/>
      <c r="ACN15" s="250"/>
      <c r="ACO15" s="250"/>
      <c r="ACP15" s="250"/>
      <c r="ACQ15" s="250"/>
      <c r="ACR15" s="250"/>
      <c r="ACS15" s="250"/>
      <c r="ACT15" s="250"/>
      <c r="ACU15" s="250"/>
      <c r="ACV15" s="250"/>
      <c r="ACW15" s="250"/>
      <c r="ACX15" s="250"/>
      <c r="ACY15" s="250"/>
      <c r="ACZ15" s="250"/>
      <c r="ADA15" s="250"/>
      <c r="ADB15" s="250"/>
      <c r="ADC15" s="250"/>
      <c r="ADD15" s="250"/>
      <c r="ADE15" s="250"/>
      <c r="ADF15" s="250"/>
      <c r="ADG15" s="250"/>
      <c r="ADH15" s="250"/>
      <c r="ADI15" s="250"/>
      <c r="ADJ15" s="250"/>
      <c r="ADK15" s="250"/>
      <c r="ADL15" s="250"/>
      <c r="ADM15" s="250"/>
      <c r="ADN15" s="250"/>
      <c r="ADO15" s="250"/>
      <c r="ADP15" s="250"/>
      <c r="ADQ15" s="250"/>
      <c r="ADR15" s="250"/>
      <c r="ADS15" s="250"/>
      <c r="ADT15" s="250"/>
      <c r="ADU15" s="250"/>
      <c r="ADV15" s="250"/>
      <c r="ADW15" s="250"/>
      <c r="ADX15" s="250"/>
      <c r="ADY15" s="250"/>
      <c r="ADZ15" s="250"/>
      <c r="AEA15" s="250"/>
      <c r="AEB15" s="250"/>
      <c r="AEC15" s="250"/>
      <c r="AED15" s="250"/>
      <c r="AEE15" s="250"/>
      <c r="AEF15" s="250"/>
      <c r="AEG15" s="250"/>
      <c r="AEH15" s="250"/>
      <c r="AEI15" s="250"/>
      <c r="AEJ15" s="250"/>
      <c r="AEK15" s="250"/>
      <c r="AEL15" s="250"/>
      <c r="AEM15" s="250"/>
      <c r="AEN15" s="250"/>
      <c r="AEO15" s="250"/>
      <c r="AEP15" s="250"/>
      <c r="AEQ15" s="250"/>
      <c r="AER15" s="250"/>
      <c r="AES15" s="250"/>
      <c r="AET15" s="250"/>
      <c r="AEU15" s="250"/>
      <c r="AEV15" s="250"/>
      <c r="AEW15" s="250"/>
      <c r="AEX15" s="250"/>
      <c r="AEY15" s="250"/>
      <c r="AEZ15" s="250"/>
      <c r="AFA15" s="250"/>
      <c r="AFB15" s="250"/>
      <c r="AFC15" s="250"/>
      <c r="AFD15" s="250"/>
      <c r="AFE15" s="250"/>
      <c r="AFF15" s="250"/>
      <c r="AFG15" s="250"/>
      <c r="AFH15" s="250"/>
      <c r="AFI15" s="250"/>
      <c r="AFJ15" s="250"/>
      <c r="AFK15" s="250"/>
      <c r="AFL15" s="250"/>
      <c r="AFM15" s="250"/>
      <c r="AFN15" s="250"/>
      <c r="AFO15" s="250"/>
      <c r="AFP15" s="250"/>
      <c r="AFQ15" s="250"/>
      <c r="AFR15" s="250"/>
      <c r="AFS15" s="250"/>
      <c r="AFT15" s="250"/>
      <c r="AFU15" s="250"/>
      <c r="AFV15" s="250"/>
      <c r="AFW15" s="250"/>
      <c r="AFX15" s="250"/>
      <c r="AFY15" s="250"/>
      <c r="AFZ15" s="250"/>
      <c r="AGA15" s="250"/>
      <c r="AGB15" s="250"/>
      <c r="AGC15" s="250"/>
      <c r="AGD15" s="250"/>
      <c r="AGE15" s="250"/>
      <c r="AGF15" s="250"/>
      <c r="AGG15" s="250"/>
      <c r="AGH15" s="250"/>
      <c r="AGI15" s="250"/>
      <c r="AGJ15" s="250"/>
      <c r="AGK15" s="250"/>
      <c r="AGL15" s="250"/>
      <c r="AGM15" s="250"/>
      <c r="AGN15" s="250"/>
      <c r="AGO15" s="250"/>
      <c r="AGP15" s="250"/>
      <c r="AGQ15" s="250"/>
      <c r="AGR15" s="250"/>
      <c r="AGS15" s="250"/>
      <c r="AGT15" s="250"/>
      <c r="AGU15" s="250"/>
      <c r="AGV15" s="250"/>
      <c r="AGW15" s="250"/>
      <c r="AGX15" s="250"/>
      <c r="AGY15" s="250"/>
      <c r="AGZ15" s="250"/>
      <c r="AHA15" s="250"/>
      <c r="AHB15" s="250"/>
      <c r="AHC15" s="250"/>
      <c r="AHD15" s="250"/>
      <c r="AHE15" s="250"/>
      <c r="AHF15" s="250"/>
      <c r="AHG15" s="250"/>
      <c r="AHH15" s="250"/>
      <c r="AHI15" s="250"/>
      <c r="AHJ15" s="250"/>
      <c r="AHK15" s="250"/>
      <c r="AHL15" s="250"/>
      <c r="AHM15" s="250"/>
      <c r="AHN15" s="250"/>
      <c r="AHO15" s="250"/>
      <c r="AHP15" s="250"/>
      <c r="AHQ15" s="250"/>
      <c r="AHR15" s="250"/>
      <c r="AHS15" s="250"/>
      <c r="AHT15" s="250"/>
      <c r="AHU15" s="250"/>
      <c r="AHV15" s="250"/>
      <c r="AHW15" s="250"/>
      <c r="AHX15" s="250"/>
      <c r="AHY15" s="250"/>
      <c r="AHZ15" s="250"/>
      <c r="AIA15" s="250"/>
      <c r="AIB15" s="250"/>
      <c r="AIC15" s="250"/>
      <c r="AID15" s="250"/>
      <c r="AIE15" s="250"/>
      <c r="AIF15" s="250"/>
      <c r="AIG15" s="250"/>
      <c r="AIH15" s="250"/>
      <c r="AII15" s="250"/>
      <c r="AIJ15" s="250"/>
      <c r="AIK15" s="250"/>
      <c r="AIL15" s="250"/>
      <c r="AIM15" s="250"/>
      <c r="AIN15" s="250"/>
      <c r="AIO15" s="250"/>
      <c r="AIP15" s="250"/>
      <c r="AIQ15" s="250"/>
      <c r="AIR15" s="250"/>
      <c r="AIS15" s="250"/>
      <c r="AIT15" s="250"/>
      <c r="AIU15" s="250"/>
      <c r="AIV15" s="250"/>
      <c r="AIW15" s="250"/>
      <c r="AIX15" s="250"/>
      <c r="AIY15" s="250"/>
      <c r="AIZ15" s="250"/>
      <c r="AJA15" s="250"/>
      <c r="AJB15" s="250"/>
      <c r="AJC15" s="250"/>
      <c r="AJD15" s="250"/>
      <c r="AJE15" s="250"/>
      <c r="AJF15" s="250"/>
      <c r="AJG15" s="250"/>
      <c r="AJH15" s="250"/>
      <c r="AJI15" s="250"/>
      <c r="AJJ15" s="250"/>
      <c r="AJK15" s="250"/>
      <c r="AJL15" s="250"/>
      <c r="AJM15" s="250"/>
      <c r="AJN15" s="250"/>
      <c r="AJO15" s="250"/>
      <c r="AJP15" s="250"/>
      <c r="AJQ15" s="250"/>
      <c r="AJR15" s="250"/>
      <c r="AJS15" s="250"/>
      <c r="AJT15" s="250"/>
      <c r="AJU15" s="250"/>
      <c r="AJV15" s="250"/>
      <c r="AJW15" s="250"/>
      <c r="AJX15" s="250"/>
      <c r="AJY15" s="250"/>
      <c r="AJZ15" s="250"/>
      <c r="AKA15" s="250"/>
      <c r="AKB15" s="250"/>
      <c r="AKC15" s="250"/>
      <c r="AKD15" s="250"/>
      <c r="AKE15" s="250"/>
      <c r="AKF15" s="250"/>
      <c r="AKG15" s="250"/>
      <c r="AKH15" s="250"/>
      <c r="AKI15" s="250"/>
      <c r="AKJ15" s="250"/>
      <c r="AKK15" s="250"/>
      <c r="AKL15" s="250"/>
      <c r="AKM15" s="250"/>
      <c r="AKN15" s="250"/>
      <c r="AKO15" s="250"/>
      <c r="AKP15" s="250"/>
      <c r="AKQ15" s="250"/>
      <c r="AKR15" s="250"/>
      <c r="AKS15" s="250"/>
      <c r="AKT15" s="250"/>
      <c r="AKU15" s="250"/>
      <c r="AKV15" s="250"/>
      <c r="AKW15" s="250"/>
      <c r="AKX15" s="250"/>
      <c r="AKY15" s="250"/>
      <c r="AKZ15" s="250"/>
      <c r="ALA15" s="250"/>
      <c r="ALB15" s="250"/>
      <c r="ALC15" s="250"/>
      <c r="ALD15" s="250"/>
      <c r="ALE15" s="250"/>
      <c r="ALF15" s="250"/>
      <c r="ALG15" s="250"/>
      <c r="ALH15" s="250"/>
      <c r="ALI15" s="250"/>
      <c r="ALJ15" s="250"/>
      <c r="ALK15" s="250"/>
      <c r="ALL15" s="250"/>
      <c r="ALM15" s="250"/>
      <c r="ALN15" s="250"/>
      <c r="ALO15" s="250"/>
      <c r="ALP15" s="250"/>
      <c r="ALQ15" s="250"/>
      <c r="ALR15" s="250"/>
      <c r="ALS15" s="250"/>
      <c r="ALT15" s="250"/>
      <c r="ALU15" s="250"/>
      <c r="ALV15" s="250"/>
      <c r="ALW15" s="250"/>
      <c r="ALX15" s="250"/>
      <c r="ALY15" s="250"/>
      <c r="ALZ15" s="250"/>
      <c r="AMA15" s="250"/>
      <c r="AMB15" s="250"/>
      <c r="AMC15" s="250"/>
      <c r="AMD15" s="250"/>
      <c r="AME15" s="250"/>
      <c r="AMF15" s="250"/>
      <c r="AMG15" s="250"/>
      <c r="AMH15" s="250"/>
      <c r="AMI15" s="250"/>
      <c r="AMJ15" s="250"/>
      <c r="AMK15" s="250"/>
      <c r="AML15" s="250"/>
      <c r="AMM15" s="250"/>
      <c r="AMN15" s="250"/>
      <c r="AMO15" s="250"/>
    </row>
    <row r="16" spans="1:1029" s="223" customFormat="1" x14ac:dyDescent="0.25">
      <c r="A16" s="32">
        <v>45421</v>
      </c>
      <c r="B16" s="42" t="s">
        <v>42</v>
      </c>
      <c r="C16" s="309" t="s">
        <v>58</v>
      </c>
      <c r="D16" s="34">
        <v>138780724</v>
      </c>
      <c r="E16" s="42">
        <v>1075.8</v>
      </c>
      <c r="F16" s="43">
        <v>45421</v>
      </c>
      <c r="G16" s="355"/>
      <c r="H16" s="45"/>
      <c r="I16" s="37"/>
      <c r="J16" s="37"/>
      <c r="K16" s="46"/>
      <c r="L16" s="305">
        <v>505.8</v>
      </c>
      <c r="M16" s="36"/>
      <c r="N16" s="37"/>
      <c r="O16" s="37">
        <v>421.5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237"/>
      <c r="AD16" s="350">
        <v>84.3</v>
      </c>
      <c r="AE16" s="97" t="s">
        <v>44</v>
      </c>
      <c r="AF16" s="265">
        <f t="shared" si="1"/>
        <v>0</v>
      </c>
      <c r="AG16" s="250"/>
      <c r="AH16" s="37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0"/>
      <c r="EW16" s="250"/>
      <c r="EX16" s="250"/>
      <c r="EY16" s="250"/>
      <c r="EZ16" s="250"/>
      <c r="FA16" s="250"/>
      <c r="FB16" s="250"/>
      <c r="FC16" s="250"/>
      <c r="FD16" s="250"/>
      <c r="FE16" s="250"/>
      <c r="FF16" s="250"/>
      <c r="FG16" s="250"/>
      <c r="FH16" s="250"/>
      <c r="FI16" s="250"/>
      <c r="FJ16" s="250"/>
      <c r="FK16" s="250"/>
      <c r="FL16" s="250"/>
      <c r="FM16" s="250"/>
      <c r="FN16" s="250"/>
      <c r="FO16" s="250"/>
      <c r="FP16" s="250"/>
      <c r="FQ16" s="250"/>
      <c r="FR16" s="250"/>
      <c r="FS16" s="250"/>
      <c r="FT16" s="250"/>
      <c r="FU16" s="250"/>
      <c r="FV16" s="250"/>
      <c r="FW16" s="250"/>
      <c r="FX16" s="250"/>
      <c r="FY16" s="250"/>
      <c r="FZ16" s="250"/>
      <c r="GA16" s="250"/>
      <c r="GB16" s="250"/>
      <c r="GC16" s="250"/>
      <c r="GD16" s="250"/>
      <c r="GE16" s="250"/>
      <c r="GF16" s="250"/>
      <c r="GG16" s="250"/>
      <c r="GH16" s="250"/>
      <c r="GI16" s="250"/>
      <c r="GJ16" s="250"/>
      <c r="GK16" s="250"/>
      <c r="GL16" s="250"/>
      <c r="GM16" s="250"/>
      <c r="GN16" s="250"/>
      <c r="GO16" s="250"/>
      <c r="GP16" s="250"/>
      <c r="GQ16" s="250"/>
      <c r="GR16" s="250"/>
      <c r="GS16" s="250"/>
      <c r="GT16" s="250"/>
      <c r="GU16" s="250"/>
      <c r="GV16" s="250"/>
      <c r="GW16" s="250"/>
      <c r="GX16" s="250"/>
      <c r="GY16" s="250"/>
      <c r="GZ16" s="250"/>
      <c r="HA16" s="250"/>
      <c r="HB16" s="250"/>
      <c r="HC16" s="250"/>
      <c r="HD16" s="250"/>
      <c r="HE16" s="250"/>
      <c r="HF16" s="250"/>
      <c r="HG16" s="250"/>
      <c r="HH16" s="250"/>
      <c r="HI16" s="250"/>
      <c r="HJ16" s="250"/>
      <c r="HK16" s="250"/>
      <c r="HL16" s="250"/>
      <c r="HM16" s="250"/>
      <c r="HN16" s="250"/>
      <c r="HO16" s="250"/>
      <c r="HP16" s="250"/>
      <c r="HQ16" s="250"/>
      <c r="HR16" s="250"/>
      <c r="HS16" s="250"/>
      <c r="HT16" s="250"/>
      <c r="HU16" s="250"/>
      <c r="HV16" s="250"/>
      <c r="HW16" s="250"/>
      <c r="HX16" s="250"/>
      <c r="HY16" s="250"/>
      <c r="HZ16" s="250"/>
      <c r="IA16" s="250"/>
      <c r="IB16" s="250"/>
      <c r="IC16" s="250"/>
      <c r="ID16" s="250"/>
      <c r="IE16" s="250"/>
      <c r="IF16" s="250"/>
      <c r="IG16" s="250"/>
      <c r="IH16" s="250"/>
      <c r="II16" s="250"/>
      <c r="IJ16" s="250"/>
      <c r="IK16" s="250"/>
      <c r="IL16" s="250"/>
      <c r="IM16" s="250"/>
      <c r="IN16" s="250"/>
      <c r="IO16" s="250"/>
      <c r="IP16" s="250"/>
      <c r="IQ16" s="250"/>
      <c r="IR16" s="250"/>
      <c r="IS16" s="250"/>
      <c r="IT16" s="250"/>
      <c r="IU16" s="250"/>
      <c r="IV16" s="250"/>
      <c r="IW16" s="250"/>
      <c r="IX16" s="250"/>
      <c r="IY16" s="250"/>
      <c r="IZ16" s="250"/>
      <c r="JA16" s="250"/>
      <c r="JB16" s="250"/>
      <c r="JC16" s="250"/>
      <c r="JD16" s="250"/>
      <c r="JE16" s="250"/>
      <c r="JF16" s="250"/>
      <c r="JG16" s="250"/>
      <c r="JH16" s="250"/>
      <c r="JI16" s="250"/>
      <c r="JJ16" s="250"/>
      <c r="JK16" s="250"/>
      <c r="JL16" s="250"/>
      <c r="JM16" s="250"/>
      <c r="JN16" s="250"/>
      <c r="JO16" s="250"/>
      <c r="JP16" s="250"/>
      <c r="JQ16" s="250"/>
      <c r="JR16" s="250"/>
      <c r="JS16" s="250"/>
      <c r="JT16" s="250"/>
      <c r="JU16" s="250"/>
      <c r="JV16" s="250"/>
      <c r="JW16" s="250"/>
      <c r="JX16" s="250"/>
      <c r="JY16" s="250"/>
      <c r="JZ16" s="250"/>
      <c r="KA16" s="250"/>
      <c r="KB16" s="250"/>
      <c r="KC16" s="250"/>
      <c r="KD16" s="250"/>
      <c r="KE16" s="250"/>
      <c r="KF16" s="250"/>
      <c r="KG16" s="250"/>
      <c r="KH16" s="250"/>
      <c r="KI16" s="250"/>
      <c r="KJ16" s="250"/>
      <c r="KK16" s="250"/>
      <c r="KL16" s="250"/>
      <c r="KM16" s="250"/>
      <c r="KN16" s="250"/>
      <c r="KO16" s="250"/>
      <c r="KP16" s="250"/>
      <c r="KQ16" s="250"/>
      <c r="KR16" s="250"/>
      <c r="KS16" s="250"/>
      <c r="KT16" s="250"/>
      <c r="KU16" s="250"/>
      <c r="KV16" s="250"/>
      <c r="KW16" s="250"/>
      <c r="KX16" s="250"/>
      <c r="KY16" s="250"/>
      <c r="KZ16" s="250"/>
      <c r="LA16" s="250"/>
      <c r="LB16" s="250"/>
      <c r="LC16" s="250"/>
      <c r="LD16" s="250"/>
      <c r="LE16" s="250"/>
      <c r="LF16" s="250"/>
      <c r="LG16" s="250"/>
      <c r="LH16" s="250"/>
      <c r="LI16" s="250"/>
      <c r="LJ16" s="250"/>
      <c r="LK16" s="250"/>
      <c r="LL16" s="250"/>
      <c r="LM16" s="250"/>
      <c r="LN16" s="250"/>
      <c r="LO16" s="250"/>
      <c r="LP16" s="250"/>
      <c r="LQ16" s="250"/>
      <c r="LR16" s="250"/>
      <c r="LS16" s="250"/>
      <c r="LT16" s="250"/>
      <c r="LU16" s="250"/>
      <c r="LV16" s="250"/>
      <c r="LW16" s="250"/>
      <c r="LX16" s="250"/>
      <c r="LY16" s="250"/>
      <c r="LZ16" s="250"/>
      <c r="MA16" s="250"/>
      <c r="MB16" s="250"/>
      <c r="MC16" s="250"/>
      <c r="MD16" s="250"/>
      <c r="ME16" s="250"/>
      <c r="MF16" s="250"/>
      <c r="MG16" s="250"/>
      <c r="MH16" s="250"/>
      <c r="MI16" s="250"/>
      <c r="MJ16" s="250"/>
      <c r="MK16" s="250"/>
      <c r="ML16" s="250"/>
      <c r="MM16" s="250"/>
      <c r="MN16" s="250"/>
      <c r="MO16" s="250"/>
      <c r="MP16" s="250"/>
      <c r="MQ16" s="250"/>
      <c r="MR16" s="250"/>
      <c r="MS16" s="250"/>
      <c r="MT16" s="250"/>
      <c r="MU16" s="250"/>
      <c r="MV16" s="250"/>
      <c r="MW16" s="250"/>
      <c r="MX16" s="250"/>
      <c r="MY16" s="250"/>
      <c r="MZ16" s="250"/>
      <c r="NA16" s="250"/>
      <c r="NB16" s="250"/>
      <c r="NC16" s="250"/>
      <c r="ND16" s="250"/>
      <c r="NE16" s="250"/>
      <c r="NF16" s="250"/>
      <c r="NG16" s="250"/>
      <c r="NH16" s="250"/>
      <c r="NI16" s="250"/>
      <c r="NJ16" s="250"/>
      <c r="NK16" s="250"/>
      <c r="NL16" s="250"/>
      <c r="NM16" s="250"/>
      <c r="NN16" s="250"/>
      <c r="NO16" s="250"/>
      <c r="NP16" s="250"/>
      <c r="NQ16" s="250"/>
      <c r="NR16" s="250"/>
      <c r="NS16" s="250"/>
      <c r="NT16" s="250"/>
      <c r="NU16" s="250"/>
      <c r="NV16" s="250"/>
      <c r="NW16" s="250"/>
      <c r="NX16" s="250"/>
      <c r="NY16" s="250"/>
      <c r="NZ16" s="250"/>
      <c r="OA16" s="250"/>
      <c r="OB16" s="250"/>
      <c r="OC16" s="250"/>
      <c r="OD16" s="250"/>
      <c r="OE16" s="250"/>
      <c r="OF16" s="250"/>
      <c r="OG16" s="250"/>
      <c r="OH16" s="250"/>
      <c r="OI16" s="250"/>
      <c r="OJ16" s="250"/>
      <c r="OK16" s="250"/>
      <c r="OL16" s="250"/>
      <c r="OM16" s="250"/>
      <c r="ON16" s="250"/>
      <c r="OO16" s="250"/>
      <c r="OP16" s="250"/>
      <c r="OQ16" s="250"/>
      <c r="OR16" s="250"/>
      <c r="OS16" s="250"/>
      <c r="OT16" s="250"/>
      <c r="OU16" s="250"/>
      <c r="OV16" s="250"/>
      <c r="OW16" s="250"/>
      <c r="OX16" s="250"/>
      <c r="OY16" s="250"/>
      <c r="OZ16" s="250"/>
      <c r="PA16" s="250"/>
      <c r="PB16" s="250"/>
      <c r="PC16" s="250"/>
      <c r="PD16" s="250"/>
      <c r="PE16" s="250"/>
      <c r="PF16" s="250"/>
      <c r="PG16" s="250"/>
      <c r="PH16" s="250"/>
      <c r="PI16" s="250"/>
      <c r="PJ16" s="250"/>
      <c r="PK16" s="250"/>
      <c r="PL16" s="250"/>
      <c r="PM16" s="250"/>
      <c r="PN16" s="250"/>
      <c r="PO16" s="250"/>
      <c r="PP16" s="250"/>
      <c r="PQ16" s="250"/>
      <c r="PR16" s="250"/>
      <c r="PS16" s="250"/>
      <c r="PT16" s="250"/>
      <c r="PU16" s="250"/>
      <c r="PV16" s="250"/>
      <c r="PW16" s="250"/>
      <c r="PX16" s="250"/>
      <c r="PY16" s="250"/>
      <c r="PZ16" s="250"/>
      <c r="QA16" s="250"/>
      <c r="QB16" s="250"/>
      <c r="QC16" s="250"/>
      <c r="QD16" s="250"/>
      <c r="QE16" s="250"/>
      <c r="QF16" s="250"/>
      <c r="QG16" s="250"/>
      <c r="QH16" s="250"/>
      <c r="QI16" s="250"/>
      <c r="QJ16" s="250"/>
      <c r="QK16" s="250"/>
      <c r="QL16" s="250"/>
      <c r="QM16" s="250"/>
      <c r="QN16" s="250"/>
      <c r="QO16" s="250"/>
      <c r="QP16" s="250"/>
      <c r="QQ16" s="250"/>
      <c r="QR16" s="250"/>
      <c r="QS16" s="250"/>
      <c r="QT16" s="250"/>
      <c r="QU16" s="250"/>
      <c r="QV16" s="250"/>
      <c r="QW16" s="250"/>
      <c r="QX16" s="250"/>
      <c r="QY16" s="250"/>
      <c r="QZ16" s="250"/>
      <c r="RA16" s="250"/>
      <c r="RB16" s="250"/>
      <c r="RC16" s="250"/>
      <c r="RD16" s="250"/>
      <c r="RE16" s="250"/>
      <c r="RF16" s="250"/>
      <c r="RG16" s="250"/>
      <c r="RH16" s="250"/>
      <c r="RI16" s="250"/>
      <c r="RJ16" s="250"/>
      <c r="RK16" s="250"/>
      <c r="RL16" s="250"/>
      <c r="RM16" s="250"/>
      <c r="RN16" s="250"/>
      <c r="RO16" s="250"/>
      <c r="RP16" s="250"/>
      <c r="RQ16" s="250"/>
      <c r="RR16" s="250"/>
      <c r="RS16" s="250"/>
      <c r="RT16" s="250"/>
      <c r="RU16" s="250"/>
      <c r="RV16" s="250"/>
      <c r="RW16" s="250"/>
      <c r="RX16" s="250"/>
      <c r="RY16" s="250"/>
      <c r="RZ16" s="250"/>
      <c r="SA16" s="250"/>
      <c r="SB16" s="250"/>
      <c r="SC16" s="250"/>
      <c r="SD16" s="250"/>
      <c r="SE16" s="250"/>
      <c r="SF16" s="250"/>
      <c r="SG16" s="250"/>
      <c r="SH16" s="250"/>
      <c r="SI16" s="250"/>
      <c r="SJ16" s="250"/>
      <c r="SK16" s="250"/>
      <c r="SL16" s="250"/>
      <c r="SM16" s="250"/>
      <c r="SN16" s="250"/>
      <c r="SO16" s="250"/>
      <c r="SP16" s="250"/>
      <c r="SQ16" s="250"/>
      <c r="SR16" s="250"/>
      <c r="SS16" s="250"/>
      <c r="ST16" s="250"/>
      <c r="SU16" s="250"/>
      <c r="SV16" s="250"/>
      <c r="SW16" s="250"/>
      <c r="SX16" s="250"/>
      <c r="SY16" s="250"/>
      <c r="SZ16" s="250"/>
      <c r="TA16" s="250"/>
      <c r="TB16" s="250"/>
      <c r="TC16" s="250"/>
      <c r="TD16" s="250"/>
      <c r="TE16" s="250"/>
      <c r="TF16" s="250"/>
      <c r="TG16" s="250"/>
      <c r="TH16" s="250"/>
      <c r="TI16" s="250"/>
      <c r="TJ16" s="250"/>
      <c r="TK16" s="250"/>
      <c r="TL16" s="250"/>
      <c r="TM16" s="250"/>
      <c r="TN16" s="250"/>
      <c r="TO16" s="250"/>
      <c r="TP16" s="250"/>
      <c r="TQ16" s="250"/>
      <c r="TR16" s="250"/>
      <c r="TS16" s="250"/>
      <c r="TT16" s="250"/>
      <c r="TU16" s="250"/>
      <c r="TV16" s="250"/>
      <c r="TW16" s="250"/>
      <c r="TX16" s="250"/>
      <c r="TY16" s="250"/>
      <c r="TZ16" s="250"/>
      <c r="UA16" s="250"/>
      <c r="UB16" s="250"/>
      <c r="UC16" s="250"/>
      <c r="UD16" s="250"/>
      <c r="UE16" s="250"/>
      <c r="UF16" s="250"/>
      <c r="UG16" s="250"/>
      <c r="UH16" s="250"/>
      <c r="UI16" s="250"/>
      <c r="UJ16" s="250"/>
      <c r="UK16" s="250"/>
      <c r="UL16" s="250"/>
      <c r="UM16" s="250"/>
      <c r="UN16" s="250"/>
      <c r="UO16" s="250"/>
      <c r="UP16" s="250"/>
      <c r="UQ16" s="250"/>
      <c r="UR16" s="250"/>
      <c r="US16" s="250"/>
      <c r="UT16" s="250"/>
      <c r="UU16" s="250"/>
      <c r="UV16" s="250"/>
      <c r="UW16" s="250"/>
      <c r="UX16" s="250"/>
      <c r="UY16" s="250"/>
      <c r="UZ16" s="250"/>
      <c r="VA16" s="250"/>
      <c r="VB16" s="250"/>
      <c r="VC16" s="250"/>
      <c r="VD16" s="250"/>
      <c r="VE16" s="250"/>
      <c r="VF16" s="250"/>
      <c r="VG16" s="250"/>
      <c r="VH16" s="250"/>
      <c r="VI16" s="250"/>
      <c r="VJ16" s="250"/>
      <c r="VK16" s="250"/>
      <c r="VL16" s="250"/>
      <c r="VM16" s="250"/>
      <c r="VN16" s="250"/>
      <c r="VO16" s="250"/>
      <c r="VP16" s="250"/>
      <c r="VQ16" s="250"/>
      <c r="VR16" s="250"/>
      <c r="VS16" s="250"/>
      <c r="VT16" s="250"/>
      <c r="VU16" s="250"/>
      <c r="VV16" s="250"/>
      <c r="VW16" s="250"/>
      <c r="VX16" s="250"/>
      <c r="VY16" s="250"/>
      <c r="VZ16" s="250"/>
      <c r="WA16" s="250"/>
      <c r="WB16" s="250"/>
      <c r="WC16" s="250"/>
      <c r="WD16" s="250"/>
      <c r="WE16" s="250"/>
      <c r="WF16" s="250"/>
      <c r="WG16" s="250"/>
      <c r="WH16" s="250"/>
      <c r="WI16" s="250"/>
      <c r="WJ16" s="250"/>
      <c r="WK16" s="250"/>
      <c r="WL16" s="250"/>
      <c r="WM16" s="250"/>
      <c r="WN16" s="250"/>
      <c r="WO16" s="250"/>
      <c r="WP16" s="250"/>
      <c r="WQ16" s="250"/>
      <c r="WR16" s="250"/>
      <c r="WS16" s="250"/>
      <c r="WT16" s="250"/>
      <c r="WU16" s="250"/>
      <c r="WV16" s="250"/>
      <c r="WW16" s="250"/>
      <c r="WX16" s="250"/>
      <c r="WY16" s="250"/>
      <c r="WZ16" s="250"/>
      <c r="XA16" s="250"/>
      <c r="XB16" s="250"/>
      <c r="XC16" s="250"/>
      <c r="XD16" s="250"/>
      <c r="XE16" s="250"/>
      <c r="XF16" s="250"/>
      <c r="XG16" s="250"/>
      <c r="XH16" s="250"/>
      <c r="XI16" s="250"/>
      <c r="XJ16" s="250"/>
      <c r="XK16" s="250"/>
      <c r="XL16" s="250"/>
      <c r="XM16" s="250"/>
      <c r="XN16" s="250"/>
      <c r="XO16" s="250"/>
      <c r="XP16" s="250"/>
      <c r="XQ16" s="250"/>
      <c r="XR16" s="250"/>
      <c r="XS16" s="250"/>
      <c r="XT16" s="250"/>
      <c r="XU16" s="250"/>
      <c r="XV16" s="250"/>
      <c r="XW16" s="250"/>
      <c r="XX16" s="250"/>
      <c r="XY16" s="250"/>
      <c r="XZ16" s="250"/>
      <c r="YA16" s="250"/>
      <c r="YB16" s="250"/>
      <c r="YC16" s="250"/>
      <c r="YD16" s="250"/>
      <c r="YE16" s="250"/>
      <c r="YF16" s="250"/>
      <c r="YG16" s="250"/>
      <c r="YH16" s="250"/>
      <c r="YI16" s="250"/>
      <c r="YJ16" s="250"/>
      <c r="YK16" s="250"/>
      <c r="YL16" s="250"/>
      <c r="YM16" s="250"/>
      <c r="YN16" s="250"/>
      <c r="YO16" s="250"/>
      <c r="YP16" s="250"/>
      <c r="YQ16" s="250"/>
      <c r="YR16" s="250"/>
      <c r="YS16" s="250"/>
      <c r="YT16" s="250"/>
      <c r="YU16" s="250"/>
      <c r="YV16" s="250"/>
      <c r="YW16" s="250"/>
      <c r="YX16" s="250"/>
      <c r="YY16" s="250"/>
      <c r="YZ16" s="250"/>
      <c r="ZA16" s="250"/>
      <c r="ZB16" s="250"/>
      <c r="ZC16" s="250"/>
      <c r="ZD16" s="250"/>
      <c r="ZE16" s="250"/>
      <c r="ZF16" s="250"/>
      <c r="ZG16" s="250"/>
      <c r="ZH16" s="250"/>
      <c r="ZI16" s="250"/>
      <c r="ZJ16" s="250"/>
      <c r="ZK16" s="250"/>
      <c r="ZL16" s="250"/>
      <c r="ZM16" s="250"/>
      <c r="ZN16" s="250"/>
      <c r="ZO16" s="250"/>
      <c r="ZP16" s="250"/>
      <c r="ZQ16" s="250"/>
      <c r="ZR16" s="250"/>
      <c r="ZS16" s="250"/>
      <c r="ZT16" s="250"/>
      <c r="ZU16" s="250"/>
      <c r="ZV16" s="250"/>
      <c r="ZW16" s="250"/>
      <c r="ZX16" s="250"/>
      <c r="ZY16" s="250"/>
      <c r="ZZ16" s="250"/>
      <c r="AAA16" s="250"/>
      <c r="AAB16" s="250"/>
      <c r="AAC16" s="250"/>
      <c r="AAD16" s="250"/>
      <c r="AAE16" s="250"/>
      <c r="AAF16" s="250"/>
      <c r="AAG16" s="250"/>
      <c r="AAH16" s="250"/>
      <c r="AAI16" s="250"/>
      <c r="AAJ16" s="250"/>
      <c r="AAK16" s="250"/>
      <c r="AAL16" s="250"/>
      <c r="AAM16" s="250"/>
      <c r="AAN16" s="250"/>
      <c r="AAO16" s="250"/>
      <c r="AAP16" s="250"/>
      <c r="AAQ16" s="250"/>
      <c r="AAR16" s="250"/>
      <c r="AAS16" s="250"/>
      <c r="AAT16" s="250"/>
      <c r="AAU16" s="250"/>
      <c r="AAV16" s="250"/>
      <c r="AAW16" s="250"/>
      <c r="AAX16" s="250"/>
      <c r="AAY16" s="250"/>
      <c r="AAZ16" s="250"/>
      <c r="ABA16" s="250"/>
      <c r="ABB16" s="250"/>
      <c r="ABC16" s="250"/>
      <c r="ABD16" s="250"/>
      <c r="ABE16" s="250"/>
      <c r="ABF16" s="250"/>
      <c r="ABG16" s="250"/>
      <c r="ABH16" s="250"/>
      <c r="ABI16" s="250"/>
      <c r="ABJ16" s="250"/>
      <c r="ABK16" s="250"/>
      <c r="ABL16" s="250"/>
      <c r="ABM16" s="250"/>
      <c r="ABN16" s="250"/>
      <c r="ABO16" s="250"/>
      <c r="ABP16" s="250"/>
      <c r="ABQ16" s="250"/>
      <c r="ABR16" s="250"/>
      <c r="ABS16" s="250"/>
      <c r="ABT16" s="250"/>
      <c r="ABU16" s="250"/>
      <c r="ABV16" s="250"/>
      <c r="ABW16" s="250"/>
      <c r="ABX16" s="250"/>
      <c r="ABY16" s="250"/>
      <c r="ABZ16" s="250"/>
      <c r="ACA16" s="250"/>
      <c r="ACB16" s="250"/>
      <c r="ACC16" s="250"/>
      <c r="ACD16" s="250"/>
      <c r="ACE16" s="250"/>
      <c r="ACF16" s="250"/>
      <c r="ACG16" s="250"/>
      <c r="ACH16" s="250"/>
      <c r="ACI16" s="250"/>
      <c r="ACJ16" s="250"/>
      <c r="ACK16" s="250"/>
      <c r="ACL16" s="250"/>
      <c r="ACM16" s="250"/>
      <c r="ACN16" s="250"/>
      <c r="ACO16" s="250"/>
      <c r="ACP16" s="250"/>
      <c r="ACQ16" s="250"/>
      <c r="ACR16" s="250"/>
      <c r="ACS16" s="250"/>
      <c r="ACT16" s="250"/>
      <c r="ACU16" s="250"/>
      <c r="ACV16" s="250"/>
      <c r="ACW16" s="250"/>
      <c r="ACX16" s="250"/>
      <c r="ACY16" s="250"/>
      <c r="ACZ16" s="250"/>
      <c r="ADA16" s="250"/>
      <c r="ADB16" s="250"/>
      <c r="ADC16" s="250"/>
      <c r="ADD16" s="250"/>
      <c r="ADE16" s="250"/>
      <c r="ADF16" s="250"/>
      <c r="ADG16" s="250"/>
      <c r="ADH16" s="250"/>
      <c r="ADI16" s="250"/>
      <c r="ADJ16" s="250"/>
      <c r="ADK16" s="250"/>
      <c r="ADL16" s="250"/>
      <c r="ADM16" s="250"/>
      <c r="ADN16" s="250"/>
      <c r="ADO16" s="250"/>
      <c r="ADP16" s="250"/>
      <c r="ADQ16" s="250"/>
      <c r="ADR16" s="250"/>
      <c r="ADS16" s="250"/>
      <c r="ADT16" s="250"/>
      <c r="ADU16" s="250"/>
      <c r="ADV16" s="250"/>
      <c r="ADW16" s="250"/>
      <c r="ADX16" s="250"/>
      <c r="ADY16" s="250"/>
      <c r="ADZ16" s="250"/>
      <c r="AEA16" s="250"/>
      <c r="AEB16" s="250"/>
      <c r="AEC16" s="250"/>
      <c r="AED16" s="250"/>
      <c r="AEE16" s="250"/>
      <c r="AEF16" s="250"/>
      <c r="AEG16" s="250"/>
      <c r="AEH16" s="250"/>
      <c r="AEI16" s="250"/>
      <c r="AEJ16" s="250"/>
      <c r="AEK16" s="250"/>
      <c r="AEL16" s="250"/>
      <c r="AEM16" s="250"/>
      <c r="AEN16" s="250"/>
      <c r="AEO16" s="250"/>
      <c r="AEP16" s="250"/>
      <c r="AEQ16" s="250"/>
      <c r="AER16" s="250"/>
      <c r="AES16" s="250"/>
      <c r="AET16" s="250"/>
      <c r="AEU16" s="250"/>
      <c r="AEV16" s="250"/>
      <c r="AEW16" s="250"/>
      <c r="AEX16" s="250"/>
      <c r="AEY16" s="250"/>
      <c r="AEZ16" s="250"/>
      <c r="AFA16" s="250"/>
      <c r="AFB16" s="250"/>
      <c r="AFC16" s="250"/>
      <c r="AFD16" s="250"/>
      <c r="AFE16" s="250"/>
      <c r="AFF16" s="250"/>
      <c r="AFG16" s="250"/>
      <c r="AFH16" s="250"/>
      <c r="AFI16" s="250"/>
      <c r="AFJ16" s="250"/>
      <c r="AFK16" s="250"/>
      <c r="AFL16" s="250"/>
      <c r="AFM16" s="250"/>
      <c r="AFN16" s="250"/>
      <c r="AFO16" s="250"/>
      <c r="AFP16" s="250"/>
      <c r="AFQ16" s="250"/>
      <c r="AFR16" s="250"/>
      <c r="AFS16" s="250"/>
      <c r="AFT16" s="250"/>
      <c r="AFU16" s="250"/>
      <c r="AFV16" s="250"/>
      <c r="AFW16" s="250"/>
      <c r="AFX16" s="250"/>
      <c r="AFY16" s="250"/>
      <c r="AFZ16" s="250"/>
      <c r="AGA16" s="250"/>
      <c r="AGB16" s="250"/>
      <c r="AGC16" s="250"/>
      <c r="AGD16" s="250"/>
      <c r="AGE16" s="250"/>
      <c r="AGF16" s="250"/>
      <c r="AGG16" s="250"/>
      <c r="AGH16" s="250"/>
      <c r="AGI16" s="250"/>
      <c r="AGJ16" s="250"/>
      <c r="AGK16" s="250"/>
      <c r="AGL16" s="250"/>
      <c r="AGM16" s="250"/>
      <c r="AGN16" s="250"/>
      <c r="AGO16" s="250"/>
      <c r="AGP16" s="250"/>
      <c r="AGQ16" s="250"/>
      <c r="AGR16" s="250"/>
      <c r="AGS16" s="250"/>
      <c r="AGT16" s="250"/>
      <c r="AGU16" s="250"/>
      <c r="AGV16" s="250"/>
      <c r="AGW16" s="250"/>
      <c r="AGX16" s="250"/>
      <c r="AGY16" s="250"/>
      <c r="AGZ16" s="250"/>
      <c r="AHA16" s="250"/>
      <c r="AHB16" s="250"/>
      <c r="AHC16" s="250"/>
      <c r="AHD16" s="250"/>
      <c r="AHE16" s="250"/>
      <c r="AHF16" s="250"/>
      <c r="AHG16" s="250"/>
      <c r="AHH16" s="250"/>
      <c r="AHI16" s="250"/>
      <c r="AHJ16" s="250"/>
      <c r="AHK16" s="250"/>
      <c r="AHL16" s="250"/>
      <c r="AHM16" s="250"/>
      <c r="AHN16" s="250"/>
      <c r="AHO16" s="250"/>
      <c r="AHP16" s="250"/>
      <c r="AHQ16" s="250"/>
      <c r="AHR16" s="250"/>
      <c r="AHS16" s="250"/>
      <c r="AHT16" s="250"/>
      <c r="AHU16" s="250"/>
      <c r="AHV16" s="250"/>
      <c r="AHW16" s="250"/>
      <c r="AHX16" s="250"/>
      <c r="AHY16" s="250"/>
      <c r="AHZ16" s="250"/>
      <c r="AIA16" s="250"/>
      <c r="AIB16" s="250"/>
      <c r="AIC16" s="250"/>
      <c r="AID16" s="250"/>
      <c r="AIE16" s="250"/>
      <c r="AIF16" s="250"/>
      <c r="AIG16" s="250"/>
      <c r="AIH16" s="250"/>
      <c r="AII16" s="250"/>
      <c r="AIJ16" s="250"/>
      <c r="AIK16" s="250"/>
      <c r="AIL16" s="250"/>
      <c r="AIM16" s="250"/>
      <c r="AIN16" s="250"/>
      <c r="AIO16" s="250"/>
      <c r="AIP16" s="250"/>
      <c r="AIQ16" s="250"/>
      <c r="AIR16" s="250"/>
      <c r="AIS16" s="250"/>
      <c r="AIT16" s="250"/>
      <c r="AIU16" s="250"/>
      <c r="AIV16" s="250"/>
      <c r="AIW16" s="250"/>
      <c r="AIX16" s="250"/>
      <c r="AIY16" s="250"/>
      <c r="AIZ16" s="250"/>
      <c r="AJA16" s="250"/>
      <c r="AJB16" s="250"/>
      <c r="AJC16" s="250"/>
      <c r="AJD16" s="250"/>
      <c r="AJE16" s="250"/>
      <c r="AJF16" s="250"/>
      <c r="AJG16" s="250"/>
      <c r="AJH16" s="250"/>
      <c r="AJI16" s="250"/>
      <c r="AJJ16" s="250"/>
      <c r="AJK16" s="250"/>
      <c r="AJL16" s="250"/>
      <c r="AJM16" s="250"/>
      <c r="AJN16" s="250"/>
      <c r="AJO16" s="250"/>
      <c r="AJP16" s="250"/>
      <c r="AJQ16" s="250"/>
      <c r="AJR16" s="250"/>
      <c r="AJS16" s="250"/>
      <c r="AJT16" s="250"/>
      <c r="AJU16" s="250"/>
      <c r="AJV16" s="250"/>
      <c r="AJW16" s="250"/>
      <c r="AJX16" s="250"/>
      <c r="AJY16" s="250"/>
      <c r="AJZ16" s="250"/>
      <c r="AKA16" s="250"/>
      <c r="AKB16" s="250"/>
      <c r="AKC16" s="250"/>
      <c r="AKD16" s="250"/>
      <c r="AKE16" s="250"/>
      <c r="AKF16" s="250"/>
      <c r="AKG16" s="250"/>
      <c r="AKH16" s="250"/>
      <c r="AKI16" s="250"/>
      <c r="AKJ16" s="250"/>
      <c r="AKK16" s="250"/>
      <c r="AKL16" s="250"/>
      <c r="AKM16" s="250"/>
      <c r="AKN16" s="250"/>
      <c r="AKO16" s="250"/>
      <c r="AKP16" s="250"/>
      <c r="AKQ16" s="250"/>
      <c r="AKR16" s="250"/>
      <c r="AKS16" s="250"/>
      <c r="AKT16" s="250"/>
      <c r="AKU16" s="250"/>
      <c r="AKV16" s="250"/>
      <c r="AKW16" s="250"/>
      <c r="AKX16" s="250"/>
      <c r="AKY16" s="250"/>
      <c r="AKZ16" s="250"/>
      <c r="ALA16" s="250"/>
      <c r="ALB16" s="250"/>
      <c r="ALC16" s="250"/>
      <c r="ALD16" s="250"/>
      <c r="ALE16" s="250"/>
      <c r="ALF16" s="250"/>
      <c r="ALG16" s="250"/>
      <c r="ALH16" s="250"/>
      <c r="ALI16" s="250"/>
      <c r="ALJ16" s="250"/>
      <c r="ALK16" s="250"/>
      <c r="ALL16" s="250"/>
      <c r="ALM16" s="250"/>
      <c r="ALN16" s="250"/>
      <c r="ALO16" s="250"/>
      <c r="ALP16" s="250"/>
      <c r="ALQ16" s="250"/>
      <c r="ALR16" s="250"/>
      <c r="ALS16" s="250"/>
      <c r="ALT16" s="250"/>
      <c r="ALU16" s="250"/>
      <c r="ALV16" s="250"/>
      <c r="ALW16" s="250"/>
      <c r="ALX16" s="250"/>
      <c r="ALY16" s="250"/>
      <c r="ALZ16" s="250"/>
      <c r="AMA16" s="250"/>
      <c r="AMB16" s="250"/>
      <c r="AMC16" s="250"/>
      <c r="AMD16" s="250"/>
      <c r="AME16" s="250"/>
      <c r="AMF16" s="250"/>
      <c r="AMG16" s="250"/>
      <c r="AMH16" s="250"/>
      <c r="AMI16" s="250"/>
      <c r="AMJ16" s="250"/>
      <c r="AMK16" s="250"/>
      <c r="AML16" s="250"/>
      <c r="AMM16" s="250"/>
      <c r="AMN16" s="250"/>
      <c r="AMO16" s="250"/>
    </row>
    <row r="17" spans="1:1029" x14ac:dyDescent="0.25">
      <c r="A17" s="32">
        <v>45421</v>
      </c>
      <c r="B17" s="42" t="s">
        <v>59</v>
      </c>
      <c r="C17" s="309" t="s">
        <v>60</v>
      </c>
      <c r="D17" s="34">
        <v>123439967</v>
      </c>
      <c r="E17" s="42">
        <v>183</v>
      </c>
      <c r="F17" s="43">
        <v>45421</v>
      </c>
      <c r="G17" s="355"/>
      <c r="H17" s="45"/>
      <c r="I17" s="37"/>
      <c r="J17" s="37"/>
      <c r="K17" s="46"/>
      <c r="L17" s="305">
        <v>183</v>
      </c>
      <c r="M17" s="36"/>
      <c r="N17" s="37"/>
      <c r="O17" s="37"/>
      <c r="P17" s="37"/>
      <c r="Q17" s="37"/>
      <c r="R17" s="37"/>
      <c r="S17" s="37"/>
      <c r="T17" s="37">
        <v>183</v>
      </c>
      <c r="U17" s="37"/>
      <c r="V17" s="37"/>
      <c r="W17" s="37"/>
      <c r="X17" s="37"/>
      <c r="Y17" s="37"/>
      <c r="Z17" s="37"/>
      <c r="AA17" s="37"/>
      <c r="AB17" s="37"/>
      <c r="AC17" s="237"/>
      <c r="AD17" s="350"/>
      <c r="AE17" s="97"/>
      <c r="AF17" s="80">
        <f t="shared" si="1"/>
        <v>0</v>
      </c>
      <c r="AH17" s="37"/>
    </row>
    <row r="18" spans="1:1029" x14ac:dyDescent="0.25">
      <c r="A18" s="32">
        <v>45421</v>
      </c>
      <c r="B18" s="42" t="s">
        <v>61</v>
      </c>
      <c r="C18" s="309" t="s">
        <v>62</v>
      </c>
      <c r="D18" s="34">
        <v>157254023</v>
      </c>
      <c r="E18" s="42">
        <v>890.4</v>
      </c>
      <c r="F18" s="43">
        <v>45421</v>
      </c>
      <c r="G18" s="44"/>
      <c r="H18" s="45"/>
      <c r="I18" s="37"/>
      <c r="J18" s="37"/>
      <c r="K18" s="46"/>
      <c r="L18" s="305">
        <v>890.4</v>
      </c>
      <c r="M18" s="36"/>
      <c r="N18" s="37"/>
      <c r="O18" s="37">
        <v>742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237"/>
      <c r="AD18" s="350">
        <v>148.4</v>
      </c>
      <c r="AE18" s="97" t="s">
        <v>63</v>
      </c>
      <c r="AF18" s="80">
        <f t="shared" si="1"/>
        <v>0</v>
      </c>
      <c r="AH18" s="37">
        <v>742</v>
      </c>
    </row>
    <row r="19" spans="1:1029" x14ac:dyDescent="0.25">
      <c r="A19" s="32">
        <v>45421</v>
      </c>
      <c r="B19" s="42" t="s">
        <v>64</v>
      </c>
      <c r="C19" s="309" t="s">
        <v>65</v>
      </c>
      <c r="D19" s="34">
        <v>687953626</v>
      </c>
      <c r="E19" s="42">
        <v>187.2</v>
      </c>
      <c r="F19" s="43">
        <v>45421</v>
      </c>
      <c r="G19" s="44"/>
      <c r="H19" s="45"/>
      <c r="I19" s="37"/>
      <c r="J19" s="37"/>
      <c r="K19" s="46"/>
      <c r="L19" s="305">
        <v>187.2</v>
      </c>
      <c r="M19" s="36"/>
      <c r="N19" s="37"/>
      <c r="O19" s="37"/>
      <c r="P19" s="37">
        <v>156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237"/>
      <c r="AD19" s="350">
        <v>31.2</v>
      </c>
      <c r="AE19" s="97" t="s">
        <v>66</v>
      </c>
      <c r="AF19" s="80">
        <f t="shared" si="1"/>
        <v>0</v>
      </c>
      <c r="AH19" s="37"/>
    </row>
    <row r="20" spans="1:1029" x14ac:dyDescent="0.25">
      <c r="A20" s="32">
        <v>45421</v>
      </c>
      <c r="B20" s="288" t="s">
        <v>67</v>
      </c>
      <c r="C20" s="309" t="s">
        <v>68</v>
      </c>
      <c r="D20" s="34">
        <v>692655997</v>
      </c>
      <c r="E20" s="42">
        <v>900.45</v>
      </c>
      <c r="F20" s="43">
        <v>45421</v>
      </c>
      <c r="G20" s="44"/>
      <c r="H20" s="45"/>
      <c r="I20" s="37"/>
      <c r="J20" s="37"/>
      <c r="K20" s="46"/>
      <c r="L20" s="47">
        <v>900.45</v>
      </c>
      <c r="M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>
        <v>900.45</v>
      </c>
      <c r="AA20" s="37"/>
      <c r="AB20" s="37"/>
      <c r="AC20" s="237"/>
      <c r="AD20" s="350"/>
      <c r="AE20" s="97"/>
      <c r="AF20" s="80">
        <f t="shared" si="1"/>
        <v>0</v>
      </c>
      <c r="AH20" s="37"/>
    </row>
    <row r="21" spans="1:1029" x14ac:dyDescent="0.25">
      <c r="A21" s="32">
        <v>45421</v>
      </c>
      <c r="B21" s="42" t="s">
        <v>69</v>
      </c>
      <c r="C21" s="309" t="s">
        <v>70</v>
      </c>
      <c r="D21" s="34">
        <v>4321221</v>
      </c>
      <c r="E21" s="42">
        <v>384</v>
      </c>
      <c r="F21" s="43">
        <v>45421</v>
      </c>
      <c r="G21" s="44"/>
      <c r="H21" s="45"/>
      <c r="I21" s="37"/>
      <c r="J21" s="37"/>
      <c r="K21" s="46"/>
      <c r="L21" s="47">
        <v>384</v>
      </c>
      <c r="M21" s="36"/>
      <c r="N21" s="37"/>
      <c r="O21" s="37"/>
      <c r="P21" s="37"/>
      <c r="Q21" s="37"/>
      <c r="R21" s="37">
        <v>320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237"/>
      <c r="AD21" s="350">
        <v>64</v>
      </c>
      <c r="AE21" s="97" t="s">
        <v>71</v>
      </c>
      <c r="AF21" s="80">
        <f t="shared" si="1"/>
        <v>0</v>
      </c>
      <c r="AH21" s="37"/>
    </row>
    <row r="22" spans="1:1029" x14ac:dyDescent="0.25">
      <c r="A22" s="256">
        <v>45426</v>
      </c>
      <c r="B22" s="42" t="s">
        <v>38</v>
      </c>
      <c r="C22" s="309" t="s">
        <v>72</v>
      </c>
      <c r="D22" s="34">
        <v>137837617</v>
      </c>
      <c r="E22" s="42">
        <v>1115.6099999999999</v>
      </c>
      <c r="F22" s="43">
        <v>45426</v>
      </c>
      <c r="G22" s="44"/>
      <c r="H22" s="45"/>
      <c r="I22" s="37"/>
      <c r="J22" s="37"/>
      <c r="K22" s="46"/>
      <c r="L22" s="47">
        <v>1115.6099999999999</v>
      </c>
      <c r="M22" s="36">
        <v>1063.1099999999999</v>
      </c>
      <c r="N22" s="37">
        <v>52.5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237"/>
      <c r="AD22" s="350"/>
      <c r="AE22" s="97"/>
      <c r="AF22" s="80">
        <f t="shared" si="1"/>
        <v>0</v>
      </c>
      <c r="AH22" s="37"/>
    </row>
    <row r="23" spans="1:1029" s="5" customFormat="1" ht="14.25" x14ac:dyDescent="0.2">
      <c r="A23" s="256">
        <v>45426</v>
      </c>
      <c r="B23" s="42" t="s">
        <v>40</v>
      </c>
      <c r="C23" s="309" t="s">
        <v>72</v>
      </c>
      <c r="D23" s="34">
        <v>117179149</v>
      </c>
      <c r="E23" s="42">
        <v>113.68</v>
      </c>
      <c r="F23" s="43">
        <v>45426</v>
      </c>
      <c r="G23" s="44"/>
      <c r="H23" s="45"/>
      <c r="I23" s="37"/>
      <c r="J23" s="37"/>
      <c r="K23" s="46"/>
      <c r="L23" s="47">
        <v>113.68</v>
      </c>
      <c r="M23" s="36">
        <v>112.22</v>
      </c>
      <c r="N23" s="37">
        <v>1.46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237"/>
      <c r="AD23" s="350"/>
      <c r="AE23" s="97"/>
      <c r="AF23" s="80">
        <f t="shared" si="1"/>
        <v>0</v>
      </c>
      <c r="AH23" s="37"/>
    </row>
    <row r="24" spans="1:1029" s="223" customFormat="1" x14ac:dyDescent="0.25">
      <c r="A24" s="256">
        <v>45426</v>
      </c>
      <c r="B24" s="42" t="s">
        <v>41</v>
      </c>
      <c r="C24" s="309" t="s">
        <v>72</v>
      </c>
      <c r="D24" s="34">
        <v>3721968</v>
      </c>
      <c r="E24" s="42">
        <v>430.6</v>
      </c>
      <c r="F24" s="43">
        <v>45426</v>
      </c>
      <c r="G24" s="44"/>
      <c r="H24" s="45"/>
      <c r="I24" s="37"/>
      <c r="J24" s="37"/>
      <c r="K24" s="46"/>
      <c r="L24" s="47">
        <v>430.6</v>
      </c>
      <c r="M24" s="36">
        <v>430.6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237"/>
      <c r="AD24" s="48"/>
      <c r="AE24" s="97"/>
      <c r="AF24" s="265">
        <f t="shared" si="1"/>
        <v>0</v>
      </c>
      <c r="AG24" s="250"/>
      <c r="AH24" s="37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0"/>
      <c r="DE24" s="250"/>
      <c r="DF24" s="250"/>
      <c r="DG24" s="250"/>
      <c r="DH24" s="250"/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  <c r="FF24" s="250"/>
      <c r="FG24" s="250"/>
      <c r="FH24" s="250"/>
      <c r="FI24" s="250"/>
      <c r="FJ24" s="250"/>
      <c r="FK24" s="250"/>
      <c r="FL24" s="250"/>
      <c r="FM24" s="250"/>
      <c r="FN24" s="250"/>
      <c r="FO24" s="250"/>
      <c r="FP24" s="250"/>
      <c r="FQ24" s="250"/>
      <c r="FR24" s="250"/>
      <c r="FS24" s="250"/>
      <c r="FT24" s="250"/>
      <c r="FU24" s="250"/>
      <c r="FV24" s="250"/>
      <c r="FW24" s="250"/>
      <c r="FX24" s="250"/>
      <c r="FY24" s="250"/>
      <c r="FZ24" s="250"/>
      <c r="GA24" s="250"/>
      <c r="GB24" s="250"/>
      <c r="GC24" s="250"/>
      <c r="GD24" s="250"/>
      <c r="GE24" s="250"/>
      <c r="GF24" s="250"/>
      <c r="GG24" s="250"/>
      <c r="GH24" s="250"/>
      <c r="GI24" s="250"/>
      <c r="GJ24" s="250"/>
      <c r="GK24" s="250"/>
      <c r="GL24" s="250"/>
      <c r="GM24" s="250"/>
      <c r="GN24" s="250"/>
      <c r="GO24" s="250"/>
      <c r="GP24" s="250"/>
      <c r="GQ24" s="250"/>
      <c r="GR24" s="250"/>
      <c r="GS24" s="250"/>
      <c r="GT24" s="250"/>
      <c r="GU24" s="250"/>
      <c r="GV24" s="250"/>
      <c r="GW24" s="250"/>
      <c r="GX24" s="250"/>
      <c r="GY24" s="250"/>
      <c r="GZ24" s="250"/>
      <c r="HA24" s="250"/>
      <c r="HB24" s="250"/>
      <c r="HC24" s="250"/>
      <c r="HD24" s="250"/>
      <c r="HE24" s="250"/>
      <c r="HF24" s="250"/>
      <c r="HG24" s="250"/>
      <c r="HH24" s="250"/>
      <c r="HI24" s="250"/>
      <c r="HJ24" s="250"/>
      <c r="HK24" s="250"/>
      <c r="HL24" s="250"/>
      <c r="HM24" s="250"/>
      <c r="HN24" s="250"/>
      <c r="HO24" s="250"/>
      <c r="HP24" s="250"/>
      <c r="HQ24" s="250"/>
      <c r="HR24" s="250"/>
      <c r="HS24" s="250"/>
      <c r="HT24" s="250"/>
      <c r="HU24" s="250"/>
      <c r="HV24" s="250"/>
      <c r="HW24" s="250"/>
      <c r="HX24" s="250"/>
      <c r="HY24" s="250"/>
      <c r="HZ24" s="250"/>
      <c r="IA24" s="250"/>
      <c r="IB24" s="250"/>
      <c r="IC24" s="250"/>
      <c r="ID24" s="250"/>
      <c r="IE24" s="250"/>
      <c r="IF24" s="250"/>
      <c r="IG24" s="250"/>
      <c r="IH24" s="250"/>
      <c r="II24" s="250"/>
      <c r="IJ24" s="250"/>
      <c r="IK24" s="250"/>
      <c r="IL24" s="250"/>
      <c r="IM24" s="250"/>
      <c r="IN24" s="250"/>
      <c r="IO24" s="250"/>
      <c r="IP24" s="250"/>
      <c r="IQ24" s="250"/>
      <c r="IR24" s="250"/>
      <c r="IS24" s="250"/>
      <c r="IT24" s="250"/>
      <c r="IU24" s="250"/>
      <c r="IV24" s="250"/>
      <c r="IW24" s="250"/>
      <c r="IX24" s="250"/>
      <c r="IY24" s="250"/>
      <c r="IZ24" s="250"/>
      <c r="JA24" s="250"/>
      <c r="JB24" s="250"/>
      <c r="JC24" s="250"/>
      <c r="JD24" s="250"/>
      <c r="JE24" s="250"/>
      <c r="JF24" s="250"/>
      <c r="JG24" s="250"/>
      <c r="JH24" s="250"/>
      <c r="JI24" s="250"/>
      <c r="JJ24" s="250"/>
      <c r="JK24" s="250"/>
      <c r="JL24" s="250"/>
      <c r="JM24" s="250"/>
      <c r="JN24" s="250"/>
      <c r="JO24" s="250"/>
      <c r="JP24" s="250"/>
      <c r="JQ24" s="250"/>
      <c r="JR24" s="250"/>
      <c r="JS24" s="250"/>
      <c r="JT24" s="250"/>
      <c r="JU24" s="250"/>
      <c r="JV24" s="250"/>
      <c r="JW24" s="250"/>
      <c r="JX24" s="250"/>
      <c r="JY24" s="250"/>
      <c r="JZ24" s="250"/>
      <c r="KA24" s="250"/>
      <c r="KB24" s="250"/>
      <c r="KC24" s="250"/>
      <c r="KD24" s="250"/>
      <c r="KE24" s="250"/>
      <c r="KF24" s="250"/>
      <c r="KG24" s="250"/>
      <c r="KH24" s="250"/>
      <c r="KI24" s="250"/>
      <c r="KJ24" s="250"/>
      <c r="KK24" s="250"/>
      <c r="KL24" s="250"/>
      <c r="KM24" s="250"/>
      <c r="KN24" s="250"/>
      <c r="KO24" s="250"/>
      <c r="KP24" s="250"/>
      <c r="KQ24" s="250"/>
      <c r="KR24" s="250"/>
      <c r="KS24" s="250"/>
      <c r="KT24" s="250"/>
      <c r="KU24" s="250"/>
      <c r="KV24" s="250"/>
      <c r="KW24" s="250"/>
      <c r="KX24" s="250"/>
      <c r="KY24" s="250"/>
      <c r="KZ24" s="250"/>
      <c r="LA24" s="250"/>
      <c r="LB24" s="250"/>
      <c r="LC24" s="250"/>
      <c r="LD24" s="250"/>
      <c r="LE24" s="250"/>
      <c r="LF24" s="250"/>
      <c r="LG24" s="250"/>
      <c r="LH24" s="250"/>
      <c r="LI24" s="250"/>
      <c r="LJ24" s="250"/>
      <c r="LK24" s="250"/>
      <c r="LL24" s="250"/>
      <c r="LM24" s="250"/>
      <c r="LN24" s="250"/>
      <c r="LO24" s="250"/>
      <c r="LP24" s="250"/>
      <c r="LQ24" s="250"/>
      <c r="LR24" s="250"/>
      <c r="LS24" s="250"/>
      <c r="LT24" s="250"/>
      <c r="LU24" s="250"/>
      <c r="LV24" s="250"/>
      <c r="LW24" s="250"/>
      <c r="LX24" s="250"/>
      <c r="LY24" s="250"/>
      <c r="LZ24" s="250"/>
      <c r="MA24" s="250"/>
      <c r="MB24" s="250"/>
      <c r="MC24" s="250"/>
      <c r="MD24" s="250"/>
      <c r="ME24" s="250"/>
      <c r="MF24" s="250"/>
      <c r="MG24" s="250"/>
      <c r="MH24" s="250"/>
      <c r="MI24" s="250"/>
      <c r="MJ24" s="250"/>
      <c r="MK24" s="250"/>
      <c r="ML24" s="250"/>
      <c r="MM24" s="250"/>
      <c r="MN24" s="250"/>
      <c r="MO24" s="250"/>
      <c r="MP24" s="250"/>
      <c r="MQ24" s="250"/>
      <c r="MR24" s="250"/>
      <c r="MS24" s="250"/>
      <c r="MT24" s="250"/>
      <c r="MU24" s="250"/>
      <c r="MV24" s="250"/>
      <c r="MW24" s="250"/>
      <c r="MX24" s="250"/>
      <c r="MY24" s="250"/>
      <c r="MZ24" s="250"/>
      <c r="NA24" s="250"/>
      <c r="NB24" s="250"/>
      <c r="NC24" s="250"/>
      <c r="ND24" s="250"/>
      <c r="NE24" s="250"/>
      <c r="NF24" s="250"/>
      <c r="NG24" s="250"/>
      <c r="NH24" s="250"/>
      <c r="NI24" s="250"/>
      <c r="NJ24" s="250"/>
      <c r="NK24" s="250"/>
      <c r="NL24" s="250"/>
      <c r="NM24" s="250"/>
      <c r="NN24" s="250"/>
      <c r="NO24" s="250"/>
      <c r="NP24" s="250"/>
      <c r="NQ24" s="250"/>
      <c r="NR24" s="250"/>
      <c r="NS24" s="250"/>
      <c r="NT24" s="250"/>
      <c r="NU24" s="250"/>
      <c r="NV24" s="250"/>
      <c r="NW24" s="250"/>
      <c r="NX24" s="250"/>
      <c r="NY24" s="250"/>
      <c r="NZ24" s="250"/>
      <c r="OA24" s="250"/>
      <c r="OB24" s="250"/>
      <c r="OC24" s="250"/>
      <c r="OD24" s="250"/>
      <c r="OE24" s="250"/>
      <c r="OF24" s="250"/>
      <c r="OG24" s="250"/>
      <c r="OH24" s="250"/>
      <c r="OI24" s="250"/>
      <c r="OJ24" s="250"/>
      <c r="OK24" s="250"/>
      <c r="OL24" s="250"/>
      <c r="OM24" s="250"/>
      <c r="ON24" s="250"/>
      <c r="OO24" s="250"/>
      <c r="OP24" s="250"/>
      <c r="OQ24" s="250"/>
      <c r="OR24" s="250"/>
      <c r="OS24" s="250"/>
      <c r="OT24" s="250"/>
      <c r="OU24" s="250"/>
      <c r="OV24" s="250"/>
      <c r="OW24" s="250"/>
      <c r="OX24" s="250"/>
      <c r="OY24" s="250"/>
      <c r="OZ24" s="250"/>
      <c r="PA24" s="250"/>
      <c r="PB24" s="250"/>
      <c r="PC24" s="250"/>
      <c r="PD24" s="250"/>
      <c r="PE24" s="250"/>
      <c r="PF24" s="250"/>
      <c r="PG24" s="250"/>
      <c r="PH24" s="250"/>
      <c r="PI24" s="250"/>
      <c r="PJ24" s="250"/>
      <c r="PK24" s="250"/>
      <c r="PL24" s="250"/>
      <c r="PM24" s="250"/>
      <c r="PN24" s="250"/>
      <c r="PO24" s="250"/>
      <c r="PP24" s="250"/>
      <c r="PQ24" s="250"/>
      <c r="PR24" s="250"/>
      <c r="PS24" s="250"/>
      <c r="PT24" s="250"/>
      <c r="PU24" s="250"/>
      <c r="PV24" s="250"/>
      <c r="PW24" s="250"/>
      <c r="PX24" s="250"/>
      <c r="PY24" s="250"/>
      <c r="PZ24" s="250"/>
      <c r="QA24" s="250"/>
      <c r="QB24" s="250"/>
      <c r="QC24" s="250"/>
      <c r="QD24" s="250"/>
      <c r="QE24" s="250"/>
      <c r="QF24" s="250"/>
      <c r="QG24" s="250"/>
      <c r="QH24" s="250"/>
      <c r="QI24" s="250"/>
      <c r="QJ24" s="250"/>
      <c r="QK24" s="250"/>
      <c r="QL24" s="250"/>
      <c r="QM24" s="250"/>
      <c r="QN24" s="250"/>
      <c r="QO24" s="250"/>
      <c r="QP24" s="250"/>
      <c r="QQ24" s="250"/>
      <c r="QR24" s="250"/>
      <c r="QS24" s="250"/>
      <c r="QT24" s="250"/>
      <c r="QU24" s="250"/>
      <c r="QV24" s="250"/>
      <c r="QW24" s="250"/>
      <c r="QX24" s="250"/>
      <c r="QY24" s="250"/>
      <c r="QZ24" s="250"/>
      <c r="RA24" s="250"/>
      <c r="RB24" s="250"/>
      <c r="RC24" s="250"/>
      <c r="RD24" s="250"/>
      <c r="RE24" s="250"/>
      <c r="RF24" s="250"/>
      <c r="RG24" s="250"/>
      <c r="RH24" s="250"/>
      <c r="RI24" s="250"/>
      <c r="RJ24" s="250"/>
      <c r="RK24" s="250"/>
      <c r="RL24" s="250"/>
      <c r="RM24" s="250"/>
      <c r="RN24" s="250"/>
      <c r="RO24" s="250"/>
      <c r="RP24" s="250"/>
      <c r="RQ24" s="250"/>
      <c r="RR24" s="250"/>
      <c r="RS24" s="250"/>
      <c r="RT24" s="250"/>
      <c r="RU24" s="250"/>
      <c r="RV24" s="250"/>
      <c r="RW24" s="250"/>
      <c r="RX24" s="250"/>
      <c r="RY24" s="250"/>
      <c r="RZ24" s="250"/>
      <c r="SA24" s="250"/>
      <c r="SB24" s="250"/>
      <c r="SC24" s="250"/>
      <c r="SD24" s="250"/>
      <c r="SE24" s="250"/>
      <c r="SF24" s="250"/>
      <c r="SG24" s="250"/>
      <c r="SH24" s="250"/>
      <c r="SI24" s="250"/>
      <c r="SJ24" s="250"/>
      <c r="SK24" s="250"/>
      <c r="SL24" s="250"/>
      <c r="SM24" s="250"/>
      <c r="SN24" s="250"/>
      <c r="SO24" s="250"/>
      <c r="SP24" s="250"/>
      <c r="SQ24" s="250"/>
      <c r="SR24" s="250"/>
      <c r="SS24" s="250"/>
      <c r="ST24" s="250"/>
      <c r="SU24" s="250"/>
      <c r="SV24" s="250"/>
      <c r="SW24" s="250"/>
      <c r="SX24" s="250"/>
      <c r="SY24" s="250"/>
      <c r="SZ24" s="250"/>
      <c r="TA24" s="250"/>
      <c r="TB24" s="250"/>
      <c r="TC24" s="250"/>
      <c r="TD24" s="250"/>
      <c r="TE24" s="250"/>
      <c r="TF24" s="250"/>
      <c r="TG24" s="250"/>
      <c r="TH24" s="250"/>
      <c r="TI24" s="250"/>
      <c r="TJ24" s="250"/>
      <c r="TK24" s="250"/>
      <c r="TL24" s="250"/>
      <c r="TM24" s="250"/>
      <c r="TN24" s="250"/>
      <c r="TO24" s="250"/>
      <c r="TP24" s="250"/>
      <c r="TQ24" s="250"/>
      <c r="TR24" s="250"/>
      <c r="TS24" s="250"/>
      <c r="TT24" s="250"/>
      <c r="TU24" s="250"/>
      <c r="TV24" s="250"/>
      <c r="TW24" s="250"/>
      <c r="TX24" s="250"/>
      <c r="TY24" s="250"/>
      <c r="TZ24" s="250"/>
      <c r="UA24" s="250"/>
      <c r="UB24" s="250"/>
      <c r="UC24" s="250"/>
      <c r="UD24" s="250"/>
      <c r="UE24" s="250"/>
      <c r="UF24" s="250"/>
      <c r="UG24" s="250"/>
      <c r="UH24" s="250"/>
      <c r="UI24" s="250"/>
      <c r="UJ24" s="250"/>
      <c r="UK24" s="250"/>
      <c r="UL24" s="250"/>
      <c r="UM24" s="250"/>
      <c r="UN24" s="250"/>
      <c r="UO24" s="250"/>
      <c r="UP24" s="250"/>
      <c r="UQ24" s="250"/>
      <c r="UR24" s="250"/>
      <c r="US24" s="250"/>
      <c r="UT24" s="250"/>
      <c r="UU24" s="250"/>
      <c r="UV24" s="250"/>
      <c r="UW24" s="250"/>
      <c r="UX24" s="250"/>
      <c r="UY24" s="250"/>
      <c r="UZ24" s="250"/>
      <c r="VA24" s="250"/>
      <c r="VB24" s="250"/>
      <c r="VC24" s="250"/>
      <c r="VD24" s="250"/>
      <c r="VE24" s="250"/>
      <c r="VF24" s="250"/>
      <c r="VG24" s="250"/>
      <c r="VH24" s="250"/>
      <c r="VI24" s="250"/>
      <c r="VJ24" s="250"/>
      <c r="VK24" s="250"/>
      <c r="VL24" s="250"/>
      <c r="VM24" s="250"/>
      <c r="VN24" s="250"/>
      <c r="VO24" s="250"/>
      <c r="VP24" s="250"/>
      <c r="VQ24" s="250"/>
      <c r="VR24" s="250"/>
      <c r="VS24" s="250"/>
      <c r="VT24" s="250"/>
      <c r="VU24" s="250"/>
      <c r="VV24" s="250"/>
      <c r="VW24" s="250"/>
      <c r="VX24" s="250"/>
      <c r="VY24" s="250"/>
      <c r="VZ24" s="250"/>
      <c r="WA24" s="250"/>
      <c r="WB24" s="250"/>
      <c r="WC24" s="250"/>
      <c r="WD24" s="250"/>
      <c r="WE24" s="250"/>
      <c r="WF24" s="250"/>
      <c r="WG24" s="250"/>
      <c r="WH24" s="250"/>
      <c r="WI24" s="250"/>
      <c r="WJ24" s="250"/>
      <c r="WK24" s="250"/>
      <c r="WL24" s="250"/>
      <c r="WM24" s="250"/>
      <c r="WN24" s="250"/>
      <c r="WO24" s="250"/>
      <c r="WP24" s="250"/>
      <c r="WQ24" s="250"/>
      <c r="WR24" s="250"/>
      <c r="WS24" s="250"/>
      <c r="WT24" s="250"/>
      <c r="WU24" s="250"/>
      <c r="WV24" s="250"/>
      <c r="WW24" s="250"/>
      <c r="WX24" s="250"/>
      <c r="WY24" s="250"/>
      <c r="WZ24" s="250"/>
      <c r="XA24" s="250"/>
      <c r="XB24" s="250"/>
      <c r="XC24" s="250"/>
      <c r="XD24" s="250"/>
      <c r="XE24" s="250"/>
      <c r="XF24" s="250"/>
      <c r="XG24" s="250"/>
      <c r="XH24" s="250"/>
      <c r="XI24" s="250"/>
      <c r="XJ24" s="250"/>
      <c r="XK24" s="250"/>
      <c r="XL24" s="250"/>
      <c r="XM24" s="250"/>
      <c r="XN24" s="250"/>
      <c r="XO24" s="250"/>
      <c r="XP24" s="250"/>
      <c r="XQ24" s="250"/>
      <c r="XR24" s="250"/>
      <c r="XS24" s="250"/>
      <c r="XT24" s="250"/>
      <c r="XU24" s="250"/>
      <c r="XV24" s="250"/>
      <c r="XW24" s="250"/>
      <c r="XX24" s="250"/>
      <c r="XY24" s="250"/>
      <c r="XZ24" s="250"/>
      <c r="YA24" s="250"/>
      <c r="YB24" s="250"/>
      <c r="YC24" s="250"/>
      <c r="YD24" s="250"/>
      <c r="YE24" s="250"/>
      <c r="YF24" s="250"/>
      <c r="YG24" s="250"/>
      <c r="YH24" s="250"/>
      <c r="YI24" s="250"/>
      <c r="YJ24" s="250"/>
      <c r="YK24" s="250"/>
      <c r="YL24" s="250"/>
      <c r="YM24" s="250"/>
      <c r="YN24" s="250"/>
      <c r="YO24" s="250"/>
      <c r="YP24" s="250"/>
      <c r="YQ24" s="250"/>
      <c r="YR24" s="250"/>
      <c r="YS24" s="250"/>
      <c r="YT24" s="250"/>
      <c r="YU24" s="250"/>
      <c r="YV24" s="250"/>
      <c r="YW24" s="250"/>
      <c r="YX24" s="250"/>
      <c r="YY24" s="250"/>
      <c r="YZ24" s="250"/>
      <c r="ZA24" s="250"/>
      <c r="ZB24" s="250"/>
      <c r="ZC24" s="250"/>
      <c r="ZD24" s="250"/>
      <c r="ZE24" s="250"/>
      <c r="ZF24" s="250"/>
      <c r="ZG24" s="250"/>
      <c r="ZH24" s="250"/>
      <c r="ZI24" s="250"/>
      <c r="ZJ24" s="250"/>
      <c r="ZK24" s="250"/>
      <c r="ZL24" s="250"/>
      <c r="ZM24" s="250"/>
      <c r="ZN24" s="250"/>
      <c r="ZO24" s="250"/>
      <c r="ZP24" s="250"/>
      <c r="ZQ24" s="250"/>
      <c r="ZR24" s="250"/>
      <c r="ZS24" s="250"/>
      <c r="ZT24" s="250"/>
      <c r="ZU24" s="250"/>
      <c r="ZV24" s="250"/>
      <c r="ZW24" s="250"/>
      <c r="ZX24" s="250"/>
      <c r="ZY24" s="250"/>
      <c r="ZZ24" s="250"/>
      <c r="AAA24" s="250"/>
      <c r="AAB24" s="250"/>
      <c r="AAC24" s="250"/>
      <c r="AAD24" s="250"/>
      <c r="AAE24" s="250"/>
      <c r="AAF24" s="250"/>
      <c r="AAG24" s="250"/>
      <c r="AAH24" s="250"/>
      <c r="AAI24" s="250"/>
      <c r="AAJ24" s="250"/>
      <c r="AAK24" s="250"/>
      <c r="AAL24" s="250"/>
      <c r="AAM24" s="250"/>
      <c r="AAN24" s="250"/>
      <c r="AAO24" s="250"/>
      <c r="AAP24" s="250"/>
      <c r="AAQ24" s="250"/>
      <c r="AAR24" s="250"/>
      <c r="AAS24" s="250"/>
      <c r="AAT24" s="250"/>
      <c r="AAU24" s="250"/>
      <c r="AAV24" s="250"/>
      <c r="AAW24" s="250"/>
      <c r="AAX24" s="250"/>
      <c r="AAY24" s="250"/>
      <c r="AAZ24" s="250"/>
      <c r="ABA24" s="250"/>
      <c r="ABB24" s="250"/>
      <c r="ABC24" s="250"/>
      <c r="ABD24" s="250"/>
      <c r="ABE24" s="250"/>
      <c r="ABF24" s="250"/>
      <c r="ABG24" s="250"/>
      <c r="ABH24" s="250"/>
      <c r="ABI24" s="250"/>
      <c r="ABJ24" s="250"/>
      <c r="ABK24" s="250"/>
      <c r="ABL24" s="250"/>
      <c r="ABM24" s="250"/>
      <c r="ABN24" s="250"/>
      <c r="ABO24" s="250"/>
      <c r="ABP24" s="250"/>
      <c r="ABQ24" s="250"/>
      <c r="ABR24" s="250"/>
      <c r="ABS24" s="250"/>
      <c r="ABT24" s="250"/>
      <c r="ABU24" s="250"/>
      <c r="ABV24" s="250"/>
      <c r="ABW24" s="250"/>
      <c r="ABX24" s="250"/>
      <c r="ABY24" s="250"/>
      <c r="ABZ24" s="250"/>
      <c r="ACA24" s="250"/>
      <c r="ACB24" s="250"/>
      <c r="ACC24" s="250"/>
      <c r="ACD24" s="250"/>
      <c r="ACE24" s="250"/>
      <c r="ACF24" s="250"/>
      <c r="ACG24" s="250"/>
      <c r="ACH24" s="250"/>
      <c r="ACI24" s="250"/>
      <c r="ACJ24" s="250"/>
      <c r="ACK24" s="250"/>
      <c r="ACL24" s="250"/>
      <c r="ACM24" s="250"/>
      <c r="ACN24" s="250"/>
      <c r="ACO24" s="250"/>
      <c r="ACP24" s="250"/>
      <c r="ACQ24" s="250"/>
      <c r="ACR24" s="250"/>
      <c r="ACS24" s="250"/>
      <c r="ACT24" s="250"/>
      <c r="ACU24" s="250"/>
      <c r="ACV24" s="250"/>
      <c r="ACW24" s="250"/>
      <c r="ACX24" s="250"/>
      <c r="ACY24" s="250"/>
      <c r="ACZ24" s="250"/>
      <c r="ADA24" s="250"/>
      <c r="ADB24" s="250"/>
      <c r="ADC24" s="250"/>
      <c r="ADD24" s="250"/>
      <c r="ADE24" s="250"/>
      <c r="ADF24" s="250"/>
      <c r="ADG24" s="250"/>
      <c r="ADH24" s="250"/>
      <c r="ADI24" s="250"/>
      <c r="ADJ24" s="250"/>
      <c r="ADK24" s="250"/>
      <c r="ADL24" s="250"/>
      <c r="ADM24" s="250"/>
      <c r="ADN24" s="250"/>
      <c r="ADO24" s="250"/>
      <c r="ADP24" s="250"/>
      <c r="ADQ24" s="250"/>
      <c r="ADR24" s="250"/>
      <c r="ADS24" s="250"/>
      <c r="ADT24" s="250"/>
      <c r="ADU24" s="250"/>
      <c r="ADV24" s="250"/>
      <c r="ADW24" s="250"/>
      <c r="ADX24" s="250"/>
      <c r="ADY24" s="250"/>
      <c r="ADZ24" s="250"/>
      <c r="AEA24" s="250"/>
      <c r="AEB24" s="250"/>
      <c r="AEC24" s="250"/>
      <c r="AED24" s="250"/>
      <c r="AEE24" s="250"/>
      <c r="AEF24" s="250"/>
      <c r="AEG24" s="250"/>
      <c r="AEH24" s="250"/>
      <c r="AEI24" s="250"/>
      <c r="AEJ24" s="250"/>
      <c r="AEK24" s="250"/>
      <c r="AEL24" s="250"/>
      <c r="AEM24" s="250"/>
      <c r="AEN24" s="250"/>
      <c r="AEO24" s="250"/>
      <c r="AEP24" s="250"/>
      <c r="AEQ24" s="250"/>
      <c r="AER24" s="250"/>
      <c r="AES24" s="250"/>
      <c r="AET24" s="250"/>
      <c r="AEU24" s="250"/>
      <c r="AEV24" s="250"/>
      <c r="AEW24" s="250"/>
      <c r="AEX24" s="250"/>
      <c r="AEY24" s="250"/>
      <c r="AEZ24" s="250"/>
      <c r="AFA24" s="250"/>
      <c r="AFB24" s="250"/>
      <c r="AFC24" s="250"/>
      <c r="AFD24" s="250"/>
      <c r="AFE24" s="250"/>
      <c r="AFF24" s="250"/>
      <c r="AFG24" s="250"/>
      <c r="AFH24" s="250"/>
      <c r="AFI24" s="250"/>
      <c r="AFJ24" s="250"/>
      <c r="AFK24" s="250"/>
      <c r="AFL24" s="250"/>
      <c r="AFM24" s="250"/>
      <c r="AFN24" s="250"/>
      <c r="AFO24" s="250"/>
      <c r="AFP24" s="250"/>
      <c r="AFQ24" s="250"/>
      <c r="AFR24" s="250"/>
      <c r="AFS24" s="250"/>
      <c r="AFT24" s="250"/>
      <c r="AFU24" s="250"/>
      <c r="AFV24" s="250"/>
      <c r="AFW24" s="250"/>
      <c r="AFX24" s="250"/>
      <c r="AFY24" s="250"/>
      <c r="AFZ24" s="250"/>
      <c r="AGA24" s="250"/>
      <c r="AGB24" s="250"/>
      <c r="AGC24" s="250"/>
      <c r="AGD24" s="250"/>
      <c r="AGE24" s="250"/>
      <c r="AGF24" s="250"/>
      <c r="AGG24" s="250"/>
      <c r="AGH24" s="250"/>
      <c r="AGI24" s="250"/>
      <c r="AGJ24" s="250"/>
      <c r="AGK24" s="250"/>
      <c r="AGL24" s="250"/>
      <c r="AGM24" s="250"/>
      <c r="AGN24" s="250"/>
      <c r="AGO24" s="250"/>
      <c r="AGP24" s="250"/>
      <c r="AGQ24" s="250"/>
      <c r="AGR24" s="250"/>
      <c r="AGS24" s="250"/>
      <c r="AGT24" s="250"/>
      <c r="AGU24" s="250"/>
      <c r="AGV24" s="250"/>
      <c r="AGW24" s="250"/>
      <c r="AGX24" s="250"/>
      <c r="AGY24" s="250"/>
      <c r="AGZ24" s="250"/>
      <c r="AHA24" s="250"/>
      <c r="AHB24" s="250"/>
      <c r="AHC24" s="250"/>
      <c r="AHD24" s="250"/>
      <c r="AHE24" s="250"/>
      <c r="AHF24" s="250"/>
      <c r="AHG24" s="250"/>
      <c r="AHH24" s="250"/>
      <c r="AHI24" s="250"/>
      <c r="AHJ24" s="250"/>
      <c r="AHK24" s="250"/>
      <c r="AHL24" s="250"/>
      <c r="AHM24" s="250"/>
      <c r="AHN24" s="250"/>
      <c r="AHO24" s="250"/>
      <c r="AHP24" s="250"/>
      <c r="AHQ24" s="250"/>
      <c r="AHR24" s="250"/>
      <c r="AHS24" s="250"/>
      <c r="AHT24" s="250"/>
      <c r="AHU24" s="250"/>
      <c r="AHV24" s="250"/>
      <c r="AHW24" s="250"/>
      <c r="AHX24" s="250"/>
      <c r="AHY24" s="250"/>
      <c r="AHZ24" s="250"/>
      <c r="AIA24" s="250"/>
      <c r="AIB24" s="250"/>
      <c r="AIC24" s="250"/>
      <c r="AID24" s="250"/>
      <c r="AIE24" s="250"/>
      <c r="AIF24" s="250"/>
      <c r="AIG24" s="250"/>
      <c r="AIH24" s="250"/>
      <c r="AII24" s="250"/>
      <c r="AIJ24" s="250"/>
      <c r="AIK24" s="250"/>
      <c r="AIL24" s="250"/>
      <c r="AIM24" s="250"/>
      <c r="AIN24" s="250"/>
      <c r="AIO24" s="250"/>
      <c r="AIP24" s="250"/>
      <c r="AIQ24" s="250"/>
      <c r="AIR24" s="250"/>
      <c r="AIS24" s="250"/>
      <c r="AIT24" s="250"/>
      <c r="AIU24" s="250"/>
      <c r="AIV24" s="250"/>
      <c r="AIW24" s="250"/>
      <c r="AIX24" s="250"/>
      <c r="AIY24" s="250"/>
      <c r="AIZ24" s="250"/>
      <c r="AJA24" s="250"/>
      <c r="AJB24" s="250"/>
      <c r="AJC24" s="250"/>
      <c r="AJD24" s="250"/>
      <c r="AJE24" s="250"/>
      <c r="AJF24" s="250"/>
      <c r="AJG24" s="250"/>
      <c r="AJH24" s="250"/>
      <c r="AJI24" s="250"/>
      <c r="AJJ24" s="250"/>
      <c r="AJK24" s="250"/>
      <c r="AJL24" s="250"/>
      <c r="AJM24" s="250"/>
      <c r="AJN24" s="250"/>
      <c r="AJO24" s="250"/>
      <c r="AJP24" s="250"/>
      <c r="AJQ24" s="250"/>
      <c r="AJR24" s="250"/>
      <c r="AJS24" s="250"/>
      <c r="AJT24" s="250"/>
      <c r="AJU24" s="250"/>
      <c r="AJV24" s="250"/>
      <c r="AJW24" s="250"/>
      <c r="AJX24" s="250"/>
      <c r="AJY24" s="250"/>
      <c r="AJZ24" s="250"/>
      <c r="AKA24" s="250"/>
      <c r="AKB24" s="250"/>
      <c r="AKC24" s="250"/>
      <c r="AKD24" s="250"/>
      <c r="AKE24" s="250"/>
      <c r="AKF24" s="250"/>
      <c r="AKG24" s="250"/>
      <c r="AKH24" s="250"/>
      <c r="AKI24" s="250"/>
      <c r="AKJ24" s="250"/>
      <c r="AKK24" s="250"/>
      <c r="AKL24" s="250"/>
      <c r="AKM24" s="250"/>
      <c r="AKN24" s="250"/>
      <c r="AKO24" s="250"/>
      <c r="AKP24" s="250"/>
      <c r="AKQ24" s="250"/>
      <c r="AKR24" s="250"/>
      <c r="AKS24" s="250"/>
      <c r="AKT24" s="250"/>
      <c r="AKU24" s="250"/>
      <c r="AKV24" s="250"/>
      <c r="AKW24" s="250"/>
      <c r="AKX24" s="250"/>
      <c r="AKY24" s="250"/>
      <c r="AKZ24" s="250"/>
      <c r="ALA24" s="250"/>
      <c r="ALB24" s="250"/>
      <c r="ALC24" s="250"/>
      <c r="ALD24" s="250"/>
      <c r="ALE24" s="250"/>
      <c r="ALF24" s="250"/>
      <c r="ALG24" s="250"/>
      <c r="ALH24" s="250"/>
      <c r="ALI24" s="250"/>
      <c r="ALJ24" s="250"/>
      <c r="ALK24" s="250"/>
      <c r="ALL24" s="250"/>
      <c r="ALM24" s="250"/>
      <c r="ALN24" s="250"/>
      <c r="ALO24" s="250"/>
      <c r="ALP24" s="250"/>
      <c r="ALQ24" s="250"/>
      <c r="ALR24" s="250"/>
      <c r="ALS24" s="250"/>
      <c r="ALT24" s="250"/>
      <c r="ALU24" s="250"/>
      <c r="ALV24" s="250"/>
      <c r="ALW24" s="250"/>
      <c r="ALX24" s="250"/>
      <c r="ALY24" s="250"/>
      <c r="ALZ24" s="250"/>
      <c r="AMA24" s="250"/>
      <c r="AMB24" s="250"/>
      <c r="AMC24" s="250"/>
      <c r="AMD24" s="250"/>
      <c r="AME24" s="250"/>
      <c r="AMF24" s="250"/>
      <c r="AMG24" s="250"/>
      <c r="AMH24" s="250"/>
      <c r="AMI24" s="250"/>
      <c r="AMJ24" s="250"/>
      <c r="AMK24" s="250"/>
      <c r="AML24" s="250"/>
      <c r="AMM24" s="250"/>
      <c r="AMN24" s="250"/>
      <c r="AMO24" s="250"/>
    </row>
    <row r="25" spans="1:1029" x14ac:dyDescent="0.25">
      <c r="A25" s="256">
        <v>45426</v>
      </c>
      <c r="B25" s="218" t="s">
        <v>73</v>
      </c>
      <c r="C25" s="309" t="s">
        <v>74</v>
      </c>
      <c r="D25" s="34" t="s">
        <v>75</v>
      </c>
      <c r="E25" s="42">
        <v>90.5</v>
      </c>
      <c r="F25" s="43">
        <v>45426</v>
      </c>
      <c r="G25" s="44">
        <v>90.5</v>
      </c>
      <c r="H25" s="45"/>
      <c r="I25" s="37"/>
      <c r="J25" s="37">
        <v>90.5</v>
      </c>
      <c r="K25" s="46"/>
      <c r="L25" s="47"/>
      <c r="M25" s="36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237"/>
      <c r="AD25" s="48"/>
      <c r="AE25" s="97"/>
      <c r="AF25" s="80">
        <f t="shared" si="1"/>
        <v>0</v>
      </c>
      <c r="AH25" s="37"/>
    </row>
    <row r="26" spans="1:1029" x14ac:dyDescent="0.25">
      <c r="A26" s="256">
        <v>45426</v>
      </c>
      <c r="B26" s="244" t="s">
        <v>76</v>
      </c>
      <c r="C26" s="309" t="s">
        <v>77</v>
      </c>
      <c r="D26" s="34">
        <v>6021090327</v>
      </c>
      <c r="E26" s="42">
        <v>790.17</v>
      </c>
      <c r="F26" s="43">
        <v>45426</v>
      </c>
      <c r="G26" s="44"/>
      <c r="H26" s="45"/>
      <c r="I26" s="37"/>
      <c r="J26" s="37"/>
      <c r="K26" s="46"/>
      <c r="L26" s="47">
        <v>790.17</v>
      </c>
      <c r="M26" s="36"/>
      <c r="N26" s="37"/>
      <c r="O26" s="37"/>
      <c r="P26" s="37"/>
      <c r="Q26" s="37"/>
      <c r="R26" s="37"/>
      <c r="S26" s="37">
        <v>790.17</v>
      </c>
      <c r="T26" s="37"/>
      <c r="U26" s="37"/>
      <c r="V26" s="37"/>
      <c r="W26" s="37"/>
      <c r="X26" s="37"/>
      <c r="Y26" s="37"/>
      <c r="Z26" s="37"/>
      <c r="AA26" s="37"/>
      <c r="AB26" s="37"/>
      <c r="AC26" s="237"/>
      <c r="AD26" s="48"/>
      <c r="AE26" s="97"/>
      <c r="AF26" s="80">
        <f>+L26-SUM(M26:AD26)</f>
        <v>0</v>
      </c>
      <c r="AH26" s="37"/>
    </row>
    <row r="27" spans="1:1029" x14ac:dyDescent="0.25">
      <c r="A27" s="256">
        <v>45461</v>
      </c>
      <c r="B27" s="218" t="s">
        <v>38</v>
      </c>
      <c r="C27" s="309" t="s">
        <v>78</v>
      </c>
      <c r="D27" s="219">
        <v>263905263</v>
      </c>
      <c r="E27" s="255">
        <v>1115.6099999999999</v>
      </c>
      <c r="F27" s="43">
        <v>45469</v>
      </c>
      <c r="G27" s="44"/>
      <c r="H27" s="45"/>
      <c r="I27" s="37"/>
      <c r="J27" s="37"/>
      <c r="K27" s="46"/>
      <c r="L27" s="47">
        <v>1115.6099999999999</v>
      </c>
      <c r="M27" s="36">
        <v>1063.1099999999999</v>
      </c>
      <c r="N27" s="37">
        <v>52.5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237"/>
      <c r="AD27" s="48"/>
      <c r="AE27" s="97"/>
      <c r="AF27" s="80">
        <f t="shared" si="1"/>
        <v>0</v>
      </c>
      <c r="AH27" s="37"/>
    </row>
    <row r="28" spans="1:1029" x14ac:dyDescent="0.25">
      <c r="A28" s="256">
        <v>45461</v>
      </c>
      <c r="B28" s="49" t="s">
        <v>40</v>
      </c>
      <c r="C28" s="309" t="s">
        <v>78</v>
      </c>
      <c r="D28" s="34">
        <v>490440099</v>
      </c>
      <c r="E28" s="42">
        <v>113.68</v>
      </c>
      <c r="F28" s="43">
        <v>45469</v>
      </c>
      <c r="G28" s="44"/>
      <c r="H28" s="45"/>
      <c r="I28" s="37"/>
      <c r="J28" s="37"/>
      <c r="K28" s="46"/>
      <c r="L28" s="47">
        <v>113.68</v>
      </c>
      <c r="M28" s="36">
        <v>112.22</v>
      </c>
      <c r="N28" s="37">
        <v>1.46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237"/>
      <c r="AD28" s="48"/>
      <c r="AE28" s="97"/>
      <c r="AF28" s="80">
        <f t="shared" si="1"/>
        <v>0</v>
      </c>
      <c r="AH28" s="37"/>
    </row>
    <row r="29" spans="1:1029" x14ac:dyDescent="0.25">
      <c r="A29" s="256">
        <v>45461</v>
      </c>
      <c r="B29" s="49" t="s">
        <v>41</v>
      </c>
      <c r="C29" s="309" t="s">
        <v>78</v>
      </c>
      <c r="D29" s="34">
        <v>152912121</v>
      </c>
      <c r="E29" s="42">
        <v>430.6</v>
      </c>
      <c r="F29" s="43">
        <v>45469</v>
      </c>
      <c r="G29" s="44"/>
      <c r="H29" s="45"/>
      <c r="I29" s="37"/>
      <c r="J29" s="37"/>
      <c r="K29" s="46"/>
      <c r="L29" s="47">
        <v>430.6</v>
      </c>
      <c r="M29" s="36">
        <v>430.6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237"/>
      <c r="AD29" s="48"/>
      <c r="AE29" s="97"/>
      <c r="AF29" s="80">
        <f t="shared" si="1"/>
        <v>0</v>
      </c>
      <c r="AH29" s="37"/>
    </row>
    <row r="30" spans="1:1029" x14ac:dyDescent="0.25">
      <c r="A30" s="256">
        <v>45461</v>
      </c>
      <c r="B30" s="49" t="s">
        <v>42</v>
      </c>
      <c r="C30" s="309" t="s">
        <v>79</v>
      </c>
      <c r="D30" s="34">
        <v>349887064</v>
      </c>
      <c r="E30" s="42">
        <v>2997.4</v>
      </c>
      <c r="F30" s="43">
        <v>45469</v>
      </c>
      <c r="G30" s="44"/>
      <c r="H30" s="45"/>
      <c r="I30" s="37"/>
      <c r="J30" s="37"/>
      <c r="K30" s="46"/>
      <c r="L30" s="47">
        <v>598.79999999999995</v>
      </c>
      <c r="M30" s="36"/>
      <c r="N30" s="37"/>
      <c r="O30" s="37">
        <v>499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237"/>
      <c r="AD30" s="48">
        <v>99.8</v>
      </c>
      <c r="AE30" s="97" t="s">
        <v>44</v>
      </c>
      <c r="AF30" s="80">
        <f t="shared" si="1"/>
        <v>0</v>
      </c>
      <c r="AH30" s="37"/>
    </row>
    <row r="31" spans="1:1029" x14ac:dyDescent="0.25">
      <c r="A31" s="256">
        <v>45461</v>
      </c>
      <c r="B31" s="49" t="s">
        <v>42</v>
      </c>
      <c r="C31" s="309" t="s">
        <v>80</v>
      </c>
      <c r="D31" s="34">
        <v>349887064</v>
      </c>
      <c r="E31" s="42">
        <v>2997.4</v>
      </c>
      <c r="F31" s="43">
        <v>45469</v>
      </c>
      <c r="G31" s="44"/>
      <c r="H31" s="45"/>
      <c r="I31" s="37"/>
      <c r="J31" s="37"/>
      <c r="K31" s="46"/>
      <c r="L31" s="47">
        <v>1799.8</v>
      </c>
      <c r="M31" s="36"/>
      <c r="N31" s="37"/>
      <c r="O31" s="37">
        <v>1499.83</v>
      </c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237"/>
      <c r="AD31" s="48">
        <v>299.97000000000003</v>
      </c>
      <c r="AE31" s="97" t="s">
        <v>44</v>
      </c>
      <c r="AF31" s="80">
        <f t="shared" si="1"/>
        <v>0</v>
      </c>
      <c r="AH31" s="37"/>
    </row>
    <row r="32" spans="1:1029" x14ac:dyDescent="0.25">
      <c r="A32" s="256">
        <v>45461</v>
      </c>
      <c r="B32" s="42" t="s">
        <v>42</v>
      </c>
      <c r="C32" s="309" t="s">
        <v>81</v>
      </c>
      <c r="D32" s="34">
        <v>349887064</v>
      </c>
      <c r="E32" s="42">
        <v>2997.4</v>
      </c>
      <c r="F32" s="43">
        <v>45469</v>
      </c>
      <c r="G32" s="44"/>
      <c r="H32" s="45"/>
      <c r="I32" s="37"/>
      <c r="J32" s="37"/>
      <c r="K32" s="46"/>
      <c r="L32" s="47">
        <v>598.79999999999995</v>
      </c>
      <c r="M32" s="36"/>
      <c r="N32" s="37"/>
      <c r="O32" s="37">
        <v>499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237"/>
      <c r="AD32" s="48">
        <v>99.8</v>
      </c>
      <c r="AE32" s="97" t="s">
        <v>44</v>
      </c>
      <c r="AF32" s="80">
        <f t="shared" si="1"/>
        <v>0</v>
      </c>
      <c r="AH32" s="37"/>
    </row>
    <row r="33" spans="1:34" x14ac:dyDescent="0.25">
      <c r="A33" s="256">
        <v>45461</v>
      </c>
      <c r="B33" s="42" t="s">
        <v>82</v>
      </c>
      <c r="C33" s="309" t="s">
        <v>83</v>
      </c>
      <c r="D33" s="34">
        <v>66940513</v>
      </c>
      <c r="E33" s="42">
        <v>42.84</v>
      </c>
      <c r="F33" s="43">
        <v>45469</v>
      </c>
      <c r="G33" s="44"/>
      <c r="H33" s="45"/>
      <c r="I33" s="37"/>
      <c r="J33" s="37"/>
      <c r="K33" s="46"/>
      <c r="L33" s="47">
        <v>42.84</v>
      </c>
      <c r="M33" s="36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>
        <v>35.700000000000003</v>
      </c>
      <c r="AB33" s="37"/>
      <c r="AC33" s="237"/>
      <c r="AD33" s="48">
        <v>7.14</v>
      </c>
      <c r="AE33" s="97" t="s">
        <v>84</v>
      </c>
      <c r="AF33" s="80">
        <f t="shared" si="1"/>
        <v>0</v>
      </c>
      <c r="AH33" s="37"/>
    </row>
    <row r="34" spans="1:34" x14ac:dyDescent="0.25">
      <c r="A34" s="256">
        <v>45461</v>
      </c>
      <c r="B34" s="288" t="s">
        <v>85</v>
      </c>
      <c r="C34" s="309" t="s">
        <v>86</v>
      </c>
      <c r="D34" s="34" t="s">
        <v>87</v>
      </c>
      <c r="E34" s="42">
        <v>35</v>
      </c>
      <c r="F34" s="43">
        <v>45471</v>
      </c>
      <c r="G34" s="44"/>
      <c r="H34" s="45"/>
      <c r="I34" s="37"/>
      <c r="J34" s="37"/>
      <c r="K34" s="46"/>
      <c r="L34" s="47">
        <v>35</v>
      </c>
      <c r="M34" s="36"/>
      <c r="N34" s="37"/>
      <c r="O34" s="37"/>
      <c r="P34" s="37"/>
      <c r="Q34" s="37"/>
      <c r="R34" s="37"/>
      <c r="S34" s="37"/>
      <c r="T34" s="37">
        <v>35</v>
      </c>
      <c r="U34" s="37"/>
      <c r="V34" s="37"/>
      <c r="W34" s="37"/>
      <c r="X34" s="37"/>
      <c r="Y34" s="37"/>
      <c r="Z34" s="37"/>
      <c r="AA34" s="37"/>
      <c r="AB34" s="37"/>
      <c r="AC34" s="237"/>
      <c r="AD34" s="48"/>
      <c r="AE34" s="100"/>
      <c r="AF34" s="80">
        <f t="shared" si="1"/>
        <v>0</v>
      </c>
      <c r="AH34" s="37"/>
    </row>
    <row r="35" spans="1:34" x14ac:dyDescent="0.25">
      <c r="A35" s="256">
        <v>45473</v>
      </c>
      <c r="B35" s="42" t="s">
        <v>88</v>
      </c>
      <c r="C35" s="309" t="s">
        <v>89</v>
      </c>
      <c r="D35" s="34" t="s">
        <v>90</v>
      </c>
      <c r="E35" s="42">
        <v>18</v>
      </c>
      <c r="F35" s="43">
        <v>45473</v>
      </c>
      <c r="G35" s="44"/>
      <c r="H35" s="45"/>
      <c r="I35" s="37"/>
      <c r="J35" s="37"/>
      <c r="K35" s="46"/>
      <c r="L35" s="47">
        <v>18</v>
      </c>
      <c r="M35" s="36"/>
      <c r="N35" s="37"/>
      <c r="O35" s="37"/>
      <c r="P35" s="37"/>
      <c r="Q35" s="37">
        <v>18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237"/>
      <c r="AD35" s="48"/>
      <c r="AE35" s="100"/>
      <c r="AF35" s="80">
        <f t="shared" si="1"/>
        <v>0</v>
      </c>
      <c r="AH35" s="37"/>
    </row>
    <row r="36" spans="1:34" x14ac:dyDescent="0.25">
      <c r="A36" s="256"/>
      <c r="B36" s="42"/>
      <c r="C36" s="309"/>
      <c r="D36" s="34"/>
      <c r="E36" s="42"/>
      <c r="F36" s="43"/>
      <c r="G36" s="44"/>
      <c r="H36" s="45"/>
      <c r="I36" s="37"/>
      <c r="J36" s="37"/>
      <c r="K36" s="46"/>
      <c r="L36" s="47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237"/>
      <c r="AD36" s="48"/>
      <c r="AE36" s="97"/>
      <c r="AF36" s="80">
        <f t="shared" si="1"/>
        <v>0</v>
      </c>
      <c r="AH36" s="37"/>
    </row>
    <row r="37" spans="1:34" x14ac:dyDescent="0.25">
      <c r="A37" s="142">
        <v>42916</v>
      </c>
      <c r="B37" s="143" t="s">
        <v>91</v>
      </c>
      <c r="C37" s="310"/>
      <c r="D37" s="145"/>
      <c r="E37" s="146"/>
      <c r="F37" s="147"/>
      <c r="G37" s="148">
        <f>SUM(G6:G36)</f>
        <v>1413</v>
      </c>
      <c r="H37" s="50">
        <f>SUM(H6:H36)</f>
        <v>0</v>
      </c>
      <c r="I37" s="51">
        <f>SUM(I6:I36)</f>
        <v>0</v>
      </c>
      <c r="J37" s="51">
        <f>SUM(J5:J36)</f>
        <v>1413</v>
      </c>
      <c r="K37" s="52">
        <f>SUM(K6:K36)</f>
        <v>0</v>
      </c>
      <c r="L37" s="149">
        <f t="shared" ref="L37:AB37" si="3">SUM(L5:L36)</f>
        <v>14828.86</v>
      </c>
      <c r="M37" s="52">
        <f t="shared" si="3"/>
        <v>4817.79</v>
      </c>
      <c r="N37" s="52">
        <f t="shared" si="3"/>
        <v>821.88000000000011</v>
      </c>
      <c r="O37" s="52">
        <f t="shared" si="3"/>
        <v>5046.03</v>
      </c>
      <c r="P37" s="52">
        <f t="shared" si="3"/>
        <v>330</v>
      </c>
      <c r="Q37" s="52">
        <f t="shared" si="3"/>
        <v>18</v>
      </c>
      <c r="R37" s="52">
        <f t="shared" si="3"/>
        <v>320</v>
      </c>
      <c r="S37" s="52">
        <f t="shared" si="3"/>
        <v>790.17</v>
      </c>
      <c r="T37" s="52">
        <f t="shared" si="3"/>
        <v>470.49</v>
      </c>
      <c r="U37" s="52">
        <f t="shared" si="3"/>
        <v>0</v>
      </c>
      <c r="V37" s="52">
        <f t="shared" si="3"/>
        <v>0</v>
      </c>
      <c r="W37" s="52">
        <f t="shared" si="3"/>
        <v>0</v>
      </c>
      <c r="X37" s="52">
        <f t="shared" si="3"/>
        <v>0</v>
      </c>
      <c r="Y37" s="52">
        <f t="shared" si="3"/>
        <v>0</v>
      </c>
      <c r="Z37" s="51">
        <f t="shared" si="3"/>
        <v>900.45</v>
      </c>
      <c r="AA37" s="51">
        <f t="shared" si="3"/>
        <v>35.700000000000003</v>
      </c>
      <c r="AB37" s="51">
        <f t="shared" si="3"/>
        <v>0</v>
      </c>
      <c r="AC37" s="160"/>
      <c r="AD37" s="150">
        <f>SUM(AD5:AD36)</f>
        <v>1278.3499999999999</v>
      </c>
      <c r="AE37" s="150"/>
      <c r="AF37" s="80">
        <f t="shared" si="1"/>
        <v>0</v>
      </c>
      <c r="AH37" s="51">
        <f>SUM(AH5:AH36)</f>
        <v>742</v>
      </c>
    </row>
    <row r="38" spans="1:34" ht="15.75" thickBot="1" x14ac:dyDescent="0.3">
      <c r="A38" s="22">
        <v>42916</v>
      </c>
      <c r="B38" s="23" t="s">
        <v>92</v>
      </c>
      <c r="C38" s="308"/>
      <c r="D38" s="54"/>
      <c r="E38" s="55"/>
      <c r="F38" s="56"/>
      <c r="G38" s="57">
        <f>SUM(H38:K38)</f>
        <v>1413</v>
      </c>
      <c r="H38" s="151">
        <f>SUM(H6:H36)</f>
        <v>0</v>
      </c>
      <c r="I38" s="152">
        <f>SUM(I6:I36)</f>
        <v>0</v>
      </c>
      <c r="J38" s="152">
        <f>SUM(J6:J36)</f>
        <v>1413</v>
      </c>
      <c r="K38" s="153">
        <f>SUM(K6:K36)</f>
        <v>0</v>
      </c>
      <c r="L38" s="59">
        <f>SUM(M37:AD37)</f>
        <v>14828.860000000002</v>
      </c>
      <c r="M38" s="154">
        <f t="shared" ref="M38:AD38" si="4">SUM(M4:M36)</f>
        <v>4817.79</v>
      </c>
      <c r="N38" s="155">
        <f t="shared" si="4"/>
        <v>821.88000000000011</v>
      </c>
      <c r="O38" s="155">
        <f t="shared" si="4"/>
        <v>5046.03</v>
      </c>
      <c r="P38" s="155">
        <f t="shared" si="4"/>
        <v>330</v>
      </c>
      <c r="Q38" s="155">
        <f t="shared" si="4"/>
        <v>18</v>
      </c>
      <c r="R38" s="155">
        <f t="shared" si="4"/>
        <v>320</v>
      </c>
      <c r="S38" s="155">
        <f t="shared" si="4"/>
        <v>790.17</v>
      </c>
      <c r="T38" s="155">
        <f t="shared" si="4"/>
        <v>470.49</v>
      </c>
      <c r="U38" s="155">
        <f t="shared" si="4"/>
        <v>0</v>
      </c>
      <c r="V38" s="155">
        <f t="shared" si="4"/>
        <v>0</v>
      </c>
      <c r="W38" s="155">
        <f t="shared" si="4"/>
        <v>0</v>
      </c>
      <c r="X38" s="155">
        <f t="shared" si="4"/>
        <v>0</v>
      </c>
      <c r="Y38" s="155">
        <f t="shared" si="4"/>
        <v>0</v>
      </c>
      <c r="Z38" s="155">
        <f t="shared" si="4"/>
        <v>900.45</v>
      </c>
      <c r="AA38" s="155">
        <f t="shared" si="4"/>
        <v>35.700000000000003</v>
      </c>
      <c r="AB38" s="155">
        <f t="shared" si="4"/>
        <v>0</v>
      </c>
      <c r="AC38" s="238">
        <f t="shared" si="4"/>
        <v>0</v>
      </c>
      <c r="AD38" s="156">
        <f t="shared" si="4"/>
        <v>1278.3499999999999</v>
      </c>
      <c r="AE38" s="164"/>
      <c r="AF38" s="80">
        <f t="shared" si="1"/>
        <v>0</v>
      </c>
      <c r="AH38" s="155">
        <f>SUM(AH6:AH36)</f>
        <v>742</v>
      </c>
    </row>
    <row r="39" spans="1:34" ht="15.75" thickBot="1" x14ac:dyDescent="0.3">
      <c r="A39" s="60">
        <v>42916</v>
      </c>
      <c r="B39" s="61" t="s">
        <v>93</v>
      </c>
      <c r="C39" s="311"/>
      <c r="D39" s="63"/>
      <c r="E39" s="64"/>
      <c r="F39" s="65" t="s">
        <v>94</v>
      </c>
      <c r="G39" s="66">
        <f>+G5+G37</f>
        <v>62284.39</v>
      </c>
      <c r="H39" s="67">
        <f t="shared" ref="H39:AD39" si="5">H37</f>
        <v>0</v>
      </c>
      <c r="I39" s="68">
        <f t="shared" si="5"/>
        <v>0</v>
      </c>
      <c r="J39" s="68">
        <f t="shared" si="5"/>
        <v>1413</v>
      </c>
      <c r="K39" s="61">
        <f t="shared" si="5"/>
        <v>0</v>
      </c>
      <c r="L39" s="69">
        <f t="shared" si="5"/>
        <v>14828.86</v>
      </c>
      <c r="M39" s="61">
        <f t="shared" si="5"/>
        <v>4817.79</v>
      </c>
      <c r="N39" s="61">
        <f t="shared" si="5"/>
        <v>821.88000000000011</v>
      </c>
      <c r="O39" s="61">
        <f t="shared" si="5"/>
        <v>5046.03</v>
      </c>
      <c r="P39" s="61">
        <f t="shared" si="5"/>
        <v>330</v>
      </c>
      <c r="Q39" s="61">
        <f t="shared" ref="Q39" si="6">Q37</f>
        <v>18</v>
      </c>
      <c r="R39" s="61">
        <f t="shared" si="5"/>
        <v>320</v>
      </c>
      <c r="S39" s="61">
        <f t="shared" ref="S39:T39" si="7">S37</f>
        <v>790.17</v>
      </c>
      <c r="T39" s="61">
        <f t="shared" si="7"/>
        <v>470.49</v>
      </c>
      <c r="U39" s="61">
        <f t="shared" si="5"/>
        <v>0</v>
      </c>
      <c r="V39" s="61">
        <f t="shared" si="5"/>
        <v>0</v>
      </c>
      <c r="W39" s="61">
        <f t="shared" si="5"/>
        <v>0</v>
      </c>
      <c r="X39" s="61">
        <f t="shared" si="5"/>
        <v>0</v>
      </c>
      <c r="Y39" s="61">
        <f t="shared" si="5"/>
        <v>0</v>
      </c>
      <c r="Z39" s="68">
        <f t="shared" si="5"/>
        <v>900.45</v>
      </c>
      <c r="AA39" s="68">
        <f t="shared" si="5"/>
        <v>35.700000000000003</v>
      </c>
      <c r="AB39" s="68">
        <f t="shared" si="5"/>
        <v>0</v>
      </c>
      <c r="AC39" s="239"/>
      <c r="AD39" s="70">
        <f t="shared" si="5"/>
        <v>1278.3499999999999</v>
      </c>
      <c r="AE39" s="70"/>
      <c r="AF39" s="80">
        <f t="shared" si="1"/>
        <v>0</v>
      </c>
      <c r="AH39" s="68">
        <f>+AH38+AH5</f>
        <v>742</v>
      </c>
    </row>
    <row r="40" spans="1:34" ht="15.75" thickTop="1" x14ac:dyDescent="0.25">
      <c r="A40" s="56"/>
      <c r="B40" s="23"/>
      <c r="C40" s="312"/>
      <c r="D40" s="54"/>
      <c r="E40" s="71"/>
      <c r="F40" s="56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4" s="73" customFormat="1" x14ac:dyDescent="0.25">
      <c r="A41" s="72"/>
      <c r="C41" s="313"/>
      <c r="D41" s="74"/>
      <c r="E41" s="23" t="s">
        <v>95</v>
      </c>
      <c r="H41" s="326">
        <f>SUM(I39:K39)</f>
        <v>1413</v>
      </c>
      <c r="I41" s="75"/>
      <c r="J41" s="75"/>
      <c r="K41" s="75"/>
      <c r="L41" s="23" t="s">
        <v>96</v>
      </c>
      <c r="M41" s="326">
        <f>SUM(N39:AD39)</f>
        <v>10011.070000000002</v>
      </c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111"/>
    </row>
    <row r="42" spans="1:34" x14ac:dyDescent="0.25">
      <c r="A42" s="56"/>
      <c r="B42" s="76"/>
      <c r="C42" s="314"/>
      <c r="D42" s="54"/>
      <c r="E42" s="71"/>
      <c r="F42" s="56"/>
      <c r="G42" s="23"/>
      <c r="L42" s="23"/>
    </row>
    <row r="43" spans="1:34" x14ac:dyDescent="0.25">
      <c r="A43" s="56"/>
      <c r="B43" s="108" t="s">
        <v>97</v>
      </c>
      <c r="C43" s="315"/>
      <c r="D43" s="110"/>
      <c r="E43" s="252"/>
      <c r="F43" s="110"/>
      <c r="G43" s="317">
        <f>G5</f>
        <v>60871.39</v>
      </c>
      <c r="I43" s="619" t="s">
        <v>98</v>
      </c>
      <c r="J43" s="619"/>
      <c r="K43" s="619"/>
      <c r="L43" s="322">
        <v>47505.53</v>
      </c>
    </row>
    <row r="44" spans="1:34" x14ac:dyDescent="0.25">
      <c r="A44" s="56"/>
      <c r="B44" s="115" t="s">
        <v>99</v>
      </c>
      <c r="C44" s="315"/>
      <c r="D44" s="110"/>
      <c r="E44" s="252"/>
      <c r="F44" s="110"/>
      <c r="G44" s="318">
        <f>H41</f>
        <v>1413</v>
      </c>
      <c r="I44" s="284" t="s">
        <v>100</v>
      </c>
      <c r="J44" s="77"/>
      <c r="L44" s="323">
        <v>0</v>
      </c>
    </row>
    <row r="45" spans="1:34" x14ac:dyDescent="0.25">
      <c r="B45" s="115" t="s">
        <v>101</v>
      </c>
      <c r="C45" s="315"/>
      <c r="D45" s="110"/>
      <c r="E45" s="252"/>
      <c r="F45" s="110"/>
      <c r="G45" s="317">
        <f>H37</f>
        <v>0</v>
      </c>
      <c r="I45" s="3"/>
      <c r="J45" s="77"/>
      <c r="L45" s="324">
        <f>SUM(L43:L44)</f>
        <v>47505.53</v>
      </c>
    </row>
    <row r="46" spans="1:34" x14ac:dyDescent="0.25">
      <c r="B46" s="115"/>
      <c r="C46" s="315"/>
      <c r="D46"/>
      <c r="E46"/>
      <c r="F46"/>
      <c r="G46" s="319">
        <f>SUM(G43:G45)</f>
        <v>62284.39</v>
      </c>
      <c r="I46" s="2" t="s">
        <v>102</v>
      </c>
      <c r="L46" s="322">
        <v>50</v>
      </c>
      <c r="M46" s="2" t="s">
        <v>103</v>
      </c>
    </row>
    <row r="47" spans="1:34" ht="15.75" thickBot="1" x14ac:dyDescent="0.3">
      <c r="B47" s="115" t="s">
        <v>104</v>
      </c>
      <c r="C47" s="315"/>
      <c r="D47"/>
      <c r="E47"/>
      <c r="F47"/>
      <c r="G47" s="320">
        <f>M41</f>
        <v>10011.070000000002</v>
      </c>
      <c r="L47" s="325">
        <f>L45-L46</f>
        <v>47455.53</v>
      </c>
      <c r="M47" s="78"/>
    </row>
    <row r="48" spans="1:34" ht="15.75" thickTop="1" x14ac:dyDescent="0.25">
      <c r="B48" s="115" t="s">
        <v>105</v>
      </c>
      <c r="C48" s="315"/>
      <c r="D48" s="82"/>
      <c r="E48" s="251"/>
      <c r="F48" s="82"/>
      <c r="G48" s="320">
        <f>M39</f>
        <v>4817.79</v>
      </c>
    </row>
    <row r="49" spans="2:17" ht="15.75" thickBot="1" x14ac:dyDescent="0.3">
      <c r="B49" s="108" t="s">
        <v>106</v>
      </c>
      <c r="C49" s="315"/>
      <c r="D49"/>
      <c r="E49"/>
      <c r="F49"/>
      <c r="G49" s="321">
        <f>G46-G47-G48</f>
        <v>47455.53</v>
      </c>
      <c r="L49" s="78">
        <f>L47-G49</f>
        <v>0</v>
      </c>
      <c r="M49" s="2" t="s">
        <v>107</v>
      </c>
      <c r="P49" s="257"/>
      <c r="Q49" s="257"/>
    </row>
    <row r="50" spans="2:17" ht="15.75" thickTop="1" x14ac:dyDescent="0.25">
      <c r="B50" s="246"/>
      <c r="C50" s="316"/>
      <c r="D50" s="247"/>
      <c r="E50" s="248"/>
      <c r="F50" s="245"/>
      <c r="G50" s="246"/>
    </row>
    <row r="51" spans="2:17" x14ac:dyDescent="0.25">
      <c r="B51" s="246"/>
      <c r="C51" s="316"/>
      <c r="D51" s="247"/>
      <c r="E51" s="249"/>
      <c r="F51" s="245"/>
      <c r="G51" s="246"/>
      <c r="M51" s="254" t="s">
        <v>108</v>
      </c>
    </row>
    <row r="52" spans="2:17" x14ac:dyDescent="0.25">
      <c r="B52" s="250"/>
      <c r="C52" s="316"/>
      <c r="D52" s="247"/>
      <c r="E52" s="249"/>
      <c r="F52" s="245"/>
      <c r="G52" s="246"/>
    </row>
  </sheetData>
  <mergeCells count="1">
    <mergeCell ref="I43:K43"/>
  </mergeCells>
  <phoneticPr fontId="26" type="noConversion"/>
  <pageMargins left="0.70833333333333304" right="0.70833333333333304" top="0.74791666666666701" bottom="0.74791666666666701" header="0.51180555555555496" footer="0.51180555555555496"/>
  <pageSetup paperSize="9" scale="2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O51"/>
  <sheetViews>
    <sheetView zoomScale="75" zoomScaleNormal="75" workbookViewId="0">
      <selection activeCell="L38" sqref="L38"/>
    </sheetView>
  </sheetViews>
  <sheetFormatPr defaultColWidth="10.42578125" defaultRowHeight="15" x14ac:dyDescent="0.25"/>
  <cols>
    <col min="1" max="1" width="8" style="79" bestFit="1" customWidth="1"/>
    <col min="2" max="2" width="39" style="80" bestFit="1" customWidth="1"/>
    <col min="3" max="3" width="18.42578125" style="119" bestFit="1" customWidth="1"/>
    <col min="4" max="4" width="11.5703125" style="81" bestFit="1" customWidth="1"/>
    <col min="5" max="5" width="11.5703125" style="488" bestFit="1" customWidth="1"/>
    <col min="6" max="6" width="11.5703125" style="370" bestFit="1" customWidth="1"/>
    <col min="7" max="7" width="13.85546875" style="80" bestFit="1" customWidth="1"/>
    <col min="8" max="8" width="12.7109375" style="80" bestFit="1" customWidth="1"/>
    <col min="9" max="9" width="11.7109375" style="80" customWidth="1"/>
    <col min="10" max="10" width="12.7109375" style="80" bestFit="1" customWidth="1"/>
    <col min="11" max="11" width="8.7109375" style="80" bestFit="1" customWidth="1"/>
    <col min="12" max="12" width="22" style="80" bestFit="1" customWidth="1"/>
    <col min="13" max="13" width="13.140625" style="80" customWidth="1"/>
    <col min="14" max="14" width="8.7109375" style="80" bestFit="1" customWidth="1"/>
    <col min="15" max="15" width="10.140625" style="80" bestFit="1" customWidth="1"/>
    <col min="16" max="16" width="9.85546875" style="80" bestFit="1" customWidth="1"/>
    <col min="17" max="17" width="6.5703125" style="80" bestFit="1" customWidth="1"/>
    <col min="18" max="18" width="7.5703125" style="80" bestFit="1" customWidth="1"/>
    <col min="19" max="19" width="13.7109375" style="80" bestFit="1" customWidth="1"/>
    <col min="20" max="20" width="12" style="80" customWidth="1"/>
    <col min="21" max="21" width="7.5703125" style="80" bestFit="1" customWidth="1"/>
    <col min="22" max="22" width="9.5703125" style="80" bestFit="1" customWidth="1"/>
    <col min="23" max="23" width="8.7109375" style="80" bestFit="1" customWidth="1"/>
    <col min="24" max="24" width="10.28515625" style="80" bestFit="1" customWidth="1"/>
    <col min="25" max="25" width="11.28515625" style="80" bestFit="1" customWidth="1"/>
    <col min="26" max="26" width="9.85546875" style="80" bestFit="1" customWidth="1"/>
    <col min="27" max="27" width="11.5703125" style="80" bestFit="1" customWidth="1"/>
    <col min="28" max="28" width="10.5703125" style="80" bestFit="1" customWidth="1"/>
    <col min="29" max="29" width="9.7109375" style="80" customWidth="1"/>
    <col min="30" max="30" width="8.7109375" style="80" bestFit="1" customWidth="1"/>
    <col min="31" max="31" width="14.5703125" style="83" bestFit="1" customWidth="1"/>
    <col min="32" max="32" width="7.5703125" style="83" bestFit="1" customWidth="1"/>
    <col min="33" max="33" width="2.85546875" style="83" customWidth="1"/>
    <col min="34" max="34" width="9.7109375" style="83" bestFit="1" customWidth="1"/>
    <col min="35" max="35" width="2.85546875" style="83" customWidth="1"/>
    <col min="36" max="1029" width="10.42578125" style="83"/>
  </cols>
  <sheetData>
    <row r="1" spans="1:1029" x14ac:dyDescent="0.25">
      <c r="B1" s="620" t="s">
        <v>109</v>
      </c>
      <c r="C1" s="621"/>
    </row>
    <row r="2" spans="1:1029" x14ac:dyDescent="0.25">
      <c r="B2" s="487"/>
    </row>
    <row r="3" spans="1:1029" ht="15.75" thickBot="1" x14ac:dyDescent="0.3">
      <c r="B3" s="487"/>
      <c r="G3" s="84" t="s">
        <v>1</v>
      </c>
      <c r="H3" s="85"/>
      <c r="I3" s="85"/>
      <c r="J3" s="85"/>
      <c r="K3" s="85"/>
      <c r="L3" s="86" t="s">
        <v>2</v>
      </c>
      <c r="M3" s="203"/>
      <c r="N3" s="204" t="s">
        <v>3</v>
      </c>
      <c r="O3" s="204"/>
      <c r="P3" s="205"/>
      <c r="Q3" s="204"/>
      <c r="R3" s="206"/>
      <c r="S3" s="207"/>
      <c r="T3" s="207"/>
      <c r="U3" s="207"/>
      <c r="V3" s="207"/>
      <c r="W3" s="207" t="s">
        <v>4</v>
      </c>
      <c r="X3" s="207"/>
      <c r="Y3" s="208"/>
      <c r="Z3" s="209"/>
      <c r="AA3" s="210" t="s">
        <v>5</v>
      </c>
      <c r="AB3" s="210"/>
      <c r="AC3" s="211"/>
      <c r="AD3" s="87"/>
      <c r="AE3" s="87"/>
    </row>
    <row r="4" spans="1:1029" s="268" customFormat="1" ht="30" x14ac:dyDescent="0.25">
      <c r="A4" s="10" t="s">
        <v>6</v>
      </c>
      <c r="B4" s="11" t="s">
        <v>7</v>
      </c>
      <c r="C4" s="307" t="s">
        <v>8</v>
      </c>
      <c r="D4" s="13" t="s">
        <v>9</v>
      </c>
      <c r="E4" s="489" t="s">
        <v>10</v>
      </c>
      <c r="F4" s="371" t="s">
        <v>11</v>
      </c>
      <c r="G4" s="16" t="s">
        <v>17</v>
      </c>
      <c r="H4" s="17" t="s">
        <v>13</v>
      </c>
      <c r="I4" s="18" t="s">
        <v>14</v>
      </c>
      <c r="J4" s="18" t="s">
        <v>15</v>
      </c>
      <c r="K4" s="19" t="s">
        <v>35</v>
      </c>
      <c r="L4" s="20" t="s">
        <v>17</v>
      </c>
      <c r="M4" s="364" t="s">
        <v>18</v>
      </c>
      <c r="N4" s="365" t="s">
        <v>19</v>
      </c>
      <c r="O4" s="365" t="s">
        <v>20</v>
      </c>
      <c r="P4" s="212" t="s">
        <v>21</v>
      </c>
      <c r="Q4" s="212" t="s">
        <v>22</v>
      </c>
      <c r="R4" s="285" t="s">
        <v>23</v>
      </c>
      <c r="S4" s="365" t="s">
        <v>24</v>
      </c>
      <c r="T4" s="365" t="s">
        <v>25</v>
      </c>
      <c r="U4" s="365" t="s">
        <v>26</v>
      </c>
      <c r="V4" s="365" t="s">
        <v>27</v>
      </c>
      <c r="W4" s="365" t="s">
        <v>28</v>
      </c>
      <c r="X4" s="212" t="s">
        <v>29</v>
      </c>
      <c r="Y4" s="365" t="s">
        <v>30</v>
      </c>
      <c r="Z4" s="213" t="s">
        <v>31</v>
      </c>
      <c r="AA4" s="365" t="s">
        <v>32</v>
      </c>
      <c r="AB4" s="365" t="s">
        <v>33</v>
      </c>
      <c r="AC4" s="366" t="s">
        <v>34</v>
      </c>
      <c r="AD4" s="367" t="s">
        <v>35</v>
      </c>
      <c r="AE4" s="367" t="s">
        <v>36</v>
      </c>
      <c r="AF4" s="368"/>
      <c r="AG4" s="368"/>
      <c r="AH4" s="369" t="s">
        <v>34</v>
      </c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8"/>
      <c r="DI4" s="368"/>
      <c r="DJ4" s="368"/>
      <c r="DK4" s="368"/>
      <c r="DL4" s="368"/>
      <c r="DM4" s="368"/>
      <c r="DN4" s="368"/>
      <c r="DO4" s="368"/>
      <c r="DP4" s="368"/>
      <c r="DQ4" s="368"/>
      <c r="DR4" s="368"/>
      <c r="DS4" s="368"/>
      <c r="DT4" s="368"/>
      <c r="DU4" s="368"/>
      <c r="DV4" s="368"/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8"/>
      <c r="EJ4" s="368"/>
      <c r="EK4" s="368"/>
      <c r="EL4" s="368"/>
      <c r="EM4" s="368"/>
      <c r="EN4" s="368"/>
      <c r="EO4" s="368"/>
      <c r="EP4" s="368"/>
      <c r="EQ4" s="368"/>
      <c r="ER4" s="368"/>
      <c r="ES4" s="368"/>
      <c r="ET4" s="368"/>
      <c r="EU4" s="368"/>
      <c r="EV4" s="368"/>
      <c r="EW4" s="368"/>
      <c r="EX4" s="368"/>
      <c r="EY4" s="368"/>
      <c r="EZ4" s="368"/>
      <c r="FA4" s="368"/>
      <c r="FB4" s="368"/>
      <c r="FC4" s="368"/>
      <c r="FD4" s="368"/>
      <c r="FE4" s="368"/>
      <c r="FF4" s="368"/>
      <c r="FG4" s="368"/>
      <c r="FH4" s="368"/>
      <c r="FI4" s="368"/>
      <c r="FJ4" s="368"/>
      <c r="FK4" s="368"/>
      <c r="FL4" s="368"/>
      <c r="FM4" s="368"/>
      <c r="FN4" s="368"/>
      <c r="FO4" s="368"/>
      <c r="FP4" s="368"/>
      <c r="FQ4" s="368"/>
      <c r="FR4" s="368"/>
      <c r="FS4" s="368"/>
      <c r="FT4" s="368"/>
      <c r="FU4" s="368"/>
      <c r="FV4" s="368"/>
      <c r="FW4" s="368"/>
      <c r="FX4" s="368"/>
      <c r="FY4" s="368"/>
      <c r="FZ4" s="368"/>
      <c r="GA4" s="368"/>
      <c r="GB4" s="368"/>
      <c r="GC4" s="368"/>
      <c r="GD4" s="368"/>
      <c r="GE4" s="368"/>
      <c r="GF4" s="368"/>
      <c r="GG4" s="368"/>
      <c r="GH4" s="368"/>
      <c r="GI4" s="368"/>
      <c r="GJ4" s="368"/>
      <c r="GK4" s="368"/>
      <c r="GL4" s="368"/>
      <c r="GM4" s="368"/>
      <c r="GN4" s="368"/>
      <c r="GO4" s="368"/>
      <c r="GP4" s="368"/>
      <c r="GQ4" s="368"/>
      <c r="GR4" s="368"/>
      <c r="GS4" s="368"/>
      <c r="GT4" s="368"/>
      <c r="GU4" s="368"/>
      <c r="GV4" s="368"/>
      <c r="GW4" s="368"/>
      <c r="GX4" s="368"/>
      <c r="GY4" s="368"/>
      <c r="GZ4" s="368"/>
      <c r="HA4" s="368"/>
      <c r="HB4" s="368"/>
      <c r="HC4" s="368"/>
      <c r="HD4" s="368"/>
      <c r="HE4" s="368"/>
      <c r="HF4" s="368"/>
      <c r="HG4" s="368"/>
      <c r="HH4" s="368"/>
      <c r="HI4" s="368"/>
      <c r="HJ4" s="368"/>
      <c r="HK4" s="368"/>
      <c r="HL4" s="368"/>
      <c r="HM4" s="368"/>
      <c r="HN4" s="368"/>
      <c r="HO4" s="368"/>
      <c r="HP4" s="368"/>
      <c r="HQ4" s="368"/>
      <c r="HR4" s="368"/>
      <c r="HS4" s="368"/>
      <c r="HT4" s="368"/>
      <c r="HU4" s="368"/>
      <c r="HV4" s="368"/>
      <c r="HW4" s="368"/>
      <c r="HX4" s="368"/>
      <c r="HY4" s="368"/>
      <c r="HZ4" s="368"/>
      <c r="IA4" s="368"/>
      <c r="IB4" s="368"/>
      <c r="IC4" s="368"/>
      <c r="ID4" s="368"/>
      <c r="IE4" s="368"/>
      <c r="IF4" s="368"/>
      <c r="IG4" s="368"/>
      <c r="IH4" s="368"/>
      <c r="II4" s="368"/>
      <c r="IJ4" s="368"/>
      <c r="IK4" s="368"/>
      <c r="IL4" s="368"/>
      <c r="IM4" s="368"/>
      <c r="IN4" s="368"/>
      <c r="IO4" s="368"/>
      <c r="IP4" s="368"/>
      <c r="IQ4" s="368"/>
      <c r="IR4" s="368"/>
      <c r="IS4" s="368"/>
      <c r="IT4" s="368"/>
      <c r="IU4" s="368"/>
      <c r="IV4" s="368"/>
      <c r="IW4" s="368"/>
      <c r="IX4" s="368"/>
      <c r="IY4" s="368"/>
      <c r="IZ4" s="368"/>
      <c r="JA4" s="368"/>
      <c r="JB4" s="368"/>
      <c r="JC4" s="368"/>
      <c r="JD4" s="368"/>
      <c r="JE4" s="368"/>
      <c r="JF4" s="368"/>
      <c r="JG4" s="368"/>
      <c r="JH4" s="368"/>
      <c r="JI4" s="368"/>
      <c r="JJ4" s="368"/>
      <c r="JK4" s="368"/>
      <c r="JL4" s="368"/>
      <c r="JM4" s="368"/>
      <c r="JN4" s="368"/>
      <c r="JO4" s="368"/>
      <c r="JP4" s="368"/>
      <c r="JQ4" s="368"/>
      <c r="JR4" s="368"/>
      <c r="JS4" s="368"/>
      <c r="JT4" s="368"/>
      <c r="JU4" s="368"/>
      <c r="JV4" s="368"/>
      <c r="JW4" s="368"/>
      <c r="JX4" s="368"/>
      <c r="JY4" s="368"/>
      <c r="JZ4" s="368"/>
      <c r="KA4" s="368"/>
      <c r="KB4" s="368"/>
      <c r="KC4" s="368"/>
      <c r="KD4" s="368"/>
      <c r="KE4" s="368"/>
      <c r="KF4" s="368"/>
      <c r="KG4" s="368"/>
      <c r="KH4" s="368"/>
      <c r="KI4" s="368"/>
      <c r="KJ4" s="368"/>
      <c r="KK4" s="368"/>
      <c r="KL4" s="368"/>
      <c r="KM4" s="368"/>
      <c r="KN4" s="368"/>
      <c r="KO4" s="368"/>
      <c r="KP4" s="368"/>
      <c r="KQ4" s="368"/>
      <c r="KR4" s="368"/>
      <c r="KS4" s="368"/>
      <c r="KT4" s="368"/>
      <c r="KU4" s="368"/>
      <c r="KV4" s="368"/>
      <c r="KW4" s="368"/>
      <c r="KX4" s="368"/>
      <c r="KY4" s="368"/>
      <c r="KZ4" s="368"/>
      <c r="LA4" s="368"/>
      <c r="LB4" s="368"/>
      <c r="LC4" s="368"/>
      <c r="LD4" s="368"/>
      <c r="LE4" s="368"/>
      <c r="LF4" s="368"/>
      <c r="LG4" s="368"/>
      <c r="LH4" s="368"/>
      <c r="LI4" s="368"/>
      <c r="LJ4" s="368"/>
      <c r="LK4" s="368"/>
      <c r="LL4" s="368"/>
      <c r="LM4" s="368"/>
      <c r="LN4" s="368"/>
      <c r="LO4" s="368"/>
      <c r="LP4" s="368"/>
      <c r="LQ4" s="368"/>
      <c r="LR4" s="368"/>
      <c r="LS4" s="368"/>
      <c r="LT4" s="368"/>
      <c r="LU4" s="368"/>
      <c r="LV4" s="368"/>
      <c r="LW4" s="368"/>
      <c r="LX4" s="368"/>
      <c r="LY4" s="368"/>
      <c r="LZ4" s="368"/>
      <c r="MA4" s="368"/>
      <c r="MB4" s="368"/>
      <c r="MC4" s="368"/>
      <c r="MD4" s="368"/>
      <c r="ME4" s="368"/>
      <c r="MF4" s="368"/>
      <c r="MG4" s="368"/>
      <c r="MH4" s="368"/>
      <c r="MI4" s="368"/>
      <c r="MJ4" s="368"/>
      <c r="MK4" s="368"/>
      <c r="ML4" s="368"/>
      <c r="MM4" s="368"/>
      <c r="MN4" s="368"/>
      <c r="MO4" s="368"/>
      <c r="MP4" s="368"/>
      <c r="MQ4" s="368"/>
      <c r="MR4" s="368"/>
      <c r="MS4" s="368"/>
      <c r="MT4" s="368"/>
      <c r="MU4" s="368"/>
      <c r="MV4" s="368"/>
      <c r="MW4" s="368"/>
      <c r="MX4" s="368"/>
      <c r="MY4" s="368"/>
      <c r="MZ4" s="368"/>
      <c r="NA4" s="368"/>
      <c r="NB4" s="368"/>
      <c r="NC4" s="368"/>
      <c r="ND4" s="368"/>
      <c r="NE4" s="368"/>
      <c r="NF4" s="368"/>
      <c r="NG4" s="368"/>
      <c r="NH4" s="368"/>
      <c r="NI4" s="368"/>
      <c r="NJ4" s="368"/>
      <c r="NK4" s="368"/>
      <c r="NL4" s="368"/>
      <c r="NM4" s="368"/>
      <c r="NN4" s="368"/>
      <c r="NO4" s="368"/>
      <c r="NP4" s="368"/>
      <c r="NQ4" s="368"/>
      <c r="NR4" s="368"/>
      <c r="NS4" s="368"/>
      <c r="NT4" s="368"/>
      <c r="NU4" s="368"/>
      <c r="NV4" s="368"/>
      <c r="NW4" s="368"/>
      <c r="NX4" s="368"/>
      <c r="NY4" s="368"/>
      <c r="NZ4" s="368"/>
      <c r="OA4" s="368"/>
      <c r="OB4" s="368"/>
      <c r="OC4" s="368"/>
      <c r="OD4" s="368"/>
      <c r="OE4" s="368"/>
      <c r="OF4" s="368"/>
      <c r="OG4" s="368"/>
      <c r="OH4" s="368"/>
      <c r="OI4" s="368"/>
      <c r="OJ4" s="368"/>
      <c r="OK4" s="368"/>
      <c r="OL4" s="368"/>
      <c r="OM4" s="368"/>
      <c r="ON4" s="368"/>
      <c r="OO4" s="368"/>
      <c r="OP4" s="368"/>
      <c r="OQ4" s="368"/>
      <c r="OR4" s="368"/>
      <c r="OS4" s="368"/>
      <c r="OT4" s="368"/>
      <c r="OU4" s="368"/>
      <c r="OV4" s="368"/>
      <c r="OW4" s="368"/>
      <c r="OX4" s="368"/>
      <c r="OY4" s="368"/>
      <c r="OZ4" s="368"/>
      <c r="PA4" s="368"/>
      <c r="PB4" s="368"/>
      <c r="PC4" s="368"/>
      <c r="PD4" s="368"/>
      <c r="PE4" s="368"/>
      <c r="PF4" s="368"/>
      <c r="PG4" s="368"/>
      <c r="PH4" s="368"/>
      <c r="PI4" s="368"/>
      <c r="PJ4" s="368"/>
      <c r="PK4" s="368"/>
      <c r="PL4" s="368"/>
      <c r="PM4" s="368"/>
      <c r="PN4" s="368"/>
      <c r="PO4" s="368"/>
      <c r="PP4" s="368"/>
      <c r="PQ4" s="368"/>
      <c r="PR4" s="368"/>
      <c r="PS4" s="368"/>
      <c r="PT4" s="368"/>
      <c r="PU4" s="368"/>
      <c r="PV4" s="368"/>
      <c r="PW4" s="368"/>
      <c r="PX4" s="368"/>
      <c r="PY4" s="368"/>
      <c r="PZ4" s="368"/>
      <c r="QA4" s="368"/>
      <c r="QB4" s="368"/>
      <c r="QC4" s="368"/>
      <c r="QD4" s="368"/>
      <c r="QE4" s="368"/>
      <c r="QF4" s="368"/>
      <c r="QG4" s="368"/>
      <c r="QH4" s="368"/>
      <c r="QI4" s="368"/>
      <c r="QJ4" s="368"/>
      <c r="QK4" s="368"/>
      <c r="QL4" s="368"/>
      <c r="QM4" s="368"/>
      <c r="QN4" s="368"/>
      <c r="QO4" s="368"/>
      <c r="QP4" s="368"/>
      <c r="QQ4" s="368"/>
      <c r="QR4" s="368"/>
      <c r="QS4" s="368"/>
      <c r="QT4" s="368"/>
      <c r="QU4" s="368"/>
      <c r="QV4" s="368"/>
      <c r="QW4" s="368"/>
      <c r="QX4" s="368"/>
      <c r="QY4" s="368"/>
      <c r="QZ4" s="368"/>
      <c r="RA4" s="368"/>
      <c r="RB4" s="368"/>
      <c r="RC4" s="368"/>
      <c r="RD4" s="368"/>
      <c r="RE4" s="368"/>
      <c r="RF4" s="368"/>
      <c r="RG4" s="368"/>
      <c r="RH4" s="368"/>
      <c r="RI4" s="368"/>
      <c r="RJ4" s="368"/>
      <c r="RK4" s="368"/>
      <c r="RL4" s="368"/>
      <c r="RM4" s="368"/>
      <c r="RN4" s="368"/>
      <c r="RO4" s="368"/>
      <c r="RP4" s="368"/>
      <c r="RQ4" s="368"/>
      <c r="RR4" s="368"/>
      <c r="RS4" s="368"/>
      <c r="RT4" s="368"/>
      <c r="RU4" s="368"/>
      <c r="RV4" s="368"/>
      <c r="RW4" s="368"/>
      <c r="RX4" s="368"/>
      <c r="RY4" s="368"/>
      <c r="RZ4" s="368"/>
      <c r="SA4" s="368"/>
      <c r="SB4" s="368"/>
      <c r="SC4" s="368"/>
      <c r="SD4" s="368"/>
      <c r="SE4" s="368"/>
      <c r="SF4" s="368"/>
      <c r="SG4" s="368"/>
      <c r="SH4" s="368"/>
      <c r="SI4" s="368"/>
      <c r="SJ4" s="368"/>
      <c r="SK4" s="368"/>
      <c r="SL4" s="368"/>
      <c r="SM4" s="368"/>
      <c r="SN4" s="368"/>
      <c r="SO4" s="368"/>
      <c r="SP4" s="368"/>
      <c r="SQ4" s="368"/>
      <c r="SR4" s="368"/>
      <c r="SS4" s="368"/>
      <c r="ST4" s="368"/>
      <c r="SU4" s="368"/>
      <c r="SV4" s="368"/>
      <c r="SW4" s="368"/>
      <c r="SX4" s="368"/>
      <c r="SY4" s="368"/>
      <c r="SZ4" s="368"/>
      <c r="TA4" s="368"/>
      <c r="TB4" s="368"/>
      <c r="TC4" s="368"/>
      <c r="TD4" s="368"/>
      <c r="TE4" s="368"/>
      <c r="TF4" s="368"/>
      <c r="TG4" s="368"/>
      <c r="TH4" s="368"/>
      <c r="TI4" s="368"/>
      <c r="TJ4" s="368"/>
      <c r="TK4" s="368"/>
      <c r="TL4" s="368"/>
      <c r="TM4" s="368"/>
      <c r="TN4" s="368"/>
      <c r="TO4" s="368"/>
      <c r="TP4" s="368"/>
      <c r="TQ4" s="368"/>
      <c r="TR4" s="368"/>
      <c r="TS4" s="368"/>
      <c r="TT4" s="368"/>
      <c r="TU4" s="368"/>
      <c r="TV4" s="368"/>
      <c r="TW4" s="368"/>
      <c r="TX4" s="368"/>
      <c r="TY4" s="368"/>
      <c r="TZ4" s="368"/>
      <c r="UA4" s="368"/>
      <c r="UB4" s="368"/>
      <c r="UC4" s="368"/>
      <c r="UD4" s="368"/>
      <c r="UE4" s="368"/>
      <c r="UF4" s="368"/>
      <c r="UG4" s="368"/>
      <c r="UH4" s="368"/>
      <c r="UI4" s="368"/>
      <c r="UJ4" s="368"/>
      <c r="UK4" s="368"/>
      <c r="UL4" s="368"/>
      <c r="UM4" s="368"/>
      <c r="UN4" s="368"/>
      <c r="UO4" s="368"/>
      <c r="UP4" s="368"/>
      <c r="UQ4" s="368"/>
      <c r="UR4" s="368"/>
      <c r="US4" s="368"/>
      <c r="UT4" s="368"/>
      <c r="UU4" s="368"/>
      <c r="UV4" s="368"/>
      <c r="UW4" s="368"/>
      <c r="UX4" s="368"/>
      <c r="UY4" s="368"/>
      <c r="UZ4" s="368"/>
      <c r="VA4" s="368"/>
      <c r="VB4" s="368"/>
      <c r="VC4" s="368"/>
      <c r="VD4" s="368"/>
      <c r="VE4" s="368"/>
      <c r="VF4" s="368"/>
      <c r="VG4" s="368"/>
      <c r="VH4" s="368"/>
      <c r="VI4" s="368"/>
      <c r="VJ4" s="368"/>
      <c r="VK4" s="368"/>
      <c r="VL4" s="368"/>
      <c r="VM4" s="368"/>
      <c r="VN4" s="368"/>
      <c r="VO4" s="368"/>
      <c r="VP4" s="368"/>
      <c r="VQ4" s="368"/>
      <c r="VR4" s="368"/>
      <c r="VS4" s="368"/>
      <c r="VT4" s="368"/>
      <c r="VU4" s="368"/>
      <c r="VV4" s="368"/>
      <c r="VW4" s="368"/>
      <c r="VX4" s="368"/>
      <c r="VY4" s="368"/>
      <c r="VZ4" s="368"/>
      <c r="WA4" s="368"/>
      <c r="WB4" s="368"/>
      <c r="WC4" s="368"/>
      <c r="WD4" s="368"/>
      <c r="WE4" s="368"/>
      <c r="WF4" s="368"/>
      <c r="WG4" s="368"/>
      <c r="WH4" s="368"/>
      <c r="WI4" s="368"/>
      <c r="WJ4" s="368"/>
      <c r="WK4" s="368"/>
      <c r="WL4" s="368"/>
      <c r="WM4" s="368"/>
      <c r="WN4" s="368"/>
      <c r="WO4" s="368"/>
      <c r="WP4" s="368"/>
      <c r="WQ4" s="368"/>
      <c r="WR4" s="368"/>
      <c r="WS4" s="368"/>
      <c r="WT4" s="368"/>
      <c r="WU4" s="368"/>
      <c r="WV4" s="368"/>
      <c r="WW4" s="368"/>
      <c r="WX4" s="368"/>
      <c r="WY4" s="368"/>
      <c r="WZ4" s="368"/>
      <c r="XA4" s="368"/>
      <c r="XB4" s="368"/>
      <c r="XC4" s="368"/>
      <c r="XD4" s="368"/>
      <c r="XE4" s="368"/>
      <c r="XF4" s="368"/>
      <c r="XG4" s="368"/>
      <c r="XH4" s="368"/>
      <c r="XI4" s="368"/>
      <c r="XJ4" s="368"/>
      <c r="XK4" s="368"/>
      <c r="XL4" s="368"/>
      <c r="XM4" s="368"/>
      <c r="XN4" s="368"/>
      <c r="XO4" s="368"/>
      <c r="XP4" s="368"/>
      <c r="XQ4" s="368"/>
      <c r="XR4" s="368"/>
      <c r="XS4" s="368"/>
      <c r="XT4" s="368"/>
      <c r="XU4" s="368"/>
      <c r="XV4" s="368"/>
      <c r="XW4" s="368"/>
      <c r="XX4" s="368"/>
      <c r="XY4" s="368"/>
      <c r="XZ4" s="368"/>
      <c r="YA4" s="368"/>
      <c r="YB4" s="368"/>
      <c r="YC4" s="368"/>
      <c r="YD4" s="368"/>
      <c r="YE4" s="368"/>
      <c r="YF4" s="368"/>
      <c r="YG4" s="368"/>
      <c r="YH4" s="368"/>
      <c r="YI4" s="368"/>
      <c r="YJ4" s="368"/>
      <c r="YK4" s="368"/>
      <c r="YL4" s="368"/>
      <c r="YM4" s="368"/>
      <c r="YN4" s="368"/>
      <c r="YO4" s="368"/>
      <c r="YP4" s="368"/>
      <c r="YQ4" s="368"/>
      <c r="YR4" s="368"/>
      <c r="YS4" s="368"/>
      <c r="YT4" s="368"/>
      <c r="YU4" s="368"/>
      <c r="YV4" s="368"/>
      <c r="YW4" s="368"/>
      <c r="YX4" s="368"/>
      <c r="YY4" s="368"/>
      <c r="YZ4" s="368"/>
      <c r="ZA4" s="368"/>
      <c r="ZB4" s="368"/>
      <c r="ZC4" s="368"/>
      <c r="ZD4" s="368"/>
      <c r="ZE4" s="368"/>
      <c r="ZF4" s="368"/>
      <c r="ZG4" s="368"/>
      <c r="ZH4" s="368"/>
      <c r="ZI4" s="368"/>
      <c r="ZJ4" s="368"/>
      <c r="ZK4" s="368"/>
      <c r="ZL4" s="368"/>
      <c r="ZM4" s="368"/>
      <c r="ZN4" s="368"/>
      <c r="ZO4" s="368"/>
      <c r="ZP4" s="368"/>
      <c r="ZQ4" s="368"/>
      <c r="ZR4" s="368"/>
      <c r="ZS4" s="368"/>
      <c r="ZT4" s="368"/>
      <c r="ZU4" s="368"/>
      <c r="ZV4" s="368"/>
      <c r="ZW4" s="368"/>
      <c r="ZX4" s="368"/>
      <c r="ZY4" s="368"/>
      <c r="ZZ4" s="368"/>
      <c r="AAA4" s="368"/>
      <c r="AAB4" s="368"/>
      <c r="AAC4" s="368"/>
      <c r="AAD4" s="368"/>
      <c r="AAE4" s="368"/>
      <c r="AAF4" s="368"/>
      <c r="AAG4" s="368"/>
      <c r="AAH4" s="368"/>
      <c r="AAI4" s="368"/>
      <c r="AAJ4" s="368"/>
      <c r="AAK4" s="368"/>
      <c r="AAL4" s="368"/>
      <c r="AAM4" s="368"/>
      <c r="AAN4" s="368"/>
      <c r="AAO4" s="368"/>
      <c r="AAP4" s="368"/>
      <c r="AAQ4" s="368"/>
      <c r="AAR4" s="368"/>
      <c r="AAS4" s="368"/>
      <c r="AAT4" s="368"/>
      <c r="AAU4" s="368"/>
      <c r="AAV4" s="368"/>
      <c r="AAW4" s="368"/>
      <c r="AAX4" s="368"/>
      <c r="AAY4" s="368"/>
      <c r="AAZ4" s="368"/>
      <c r="ABA4" s="368"/>
      <c r="ABB4" s="368"/>
      <c r="ABC4" s="368"/>
      <c r="ABD4" s="368"/>
      <c r="ABE4" s="368"/>
      <c r="ABF4" s="368"/>
      <c r="ABG4" s="368"/>
      <c r="ABH4" s="368"/>
      <c r="ABI4" s="368"/>
      <c r="ABJ4" s="368"/>
      <c r="ABK4" s="368"/>
      <c r="ABL4" s="368"/>
      <c r="ABM4" s="368"/>
      <c r="ABN4" s="368"/>
      <c r="ABO4" s="368"/>
      <c r="ABP4" s="368"/>
      <c r="ABQ4" s="368"/>
      <c r="ABR4" s="368"/>
      <c r="ABS4" s="368"/>
      <c r="ABT4" s="368"/>
      <c r="ABU4" s="368"/>
      <c r="ABV4" s="368"/>
      <c r="ABW4" s="368"/>
      <c r="ABX4" s="368"/>
      <c r="ABY4" s="368"/>
      <c r="ABZ4" s="368"/>
      <c r="ACA4" s="368"/>
      <c r="ACB4" s="368"/>
      <c r="ACC4" s="368"/>
      <c r="ACD4" s="368"/>
      <c r="ACE4" s="368"/>
      <c r="ACF4" s="368"/>
      <c r="ACG4" s="368"/>
      <c r="ACH4" s="368"/>
      <c r="ACI4" s="368"/>
      <c r="ACJ4" s="368"/>
      <c r="ACK4" s="368"/>
      <c r="ACL4" s="368"/>
      <c r="ACM4" s="368"/>
      <c r="ACN4" s="368"/>
      <c r="ACO4" s="368"/>
      <c r="ACP4" s="368"/>
      <c r="ACQ4" s="368"/>
      <c r="ACR4" s="368"/>
      <c r="ACS4" s="368"/>
      <c r="ACT4" s="368"/>
      <c r="ACU4" s="368"/>
      <c r="ACV4" s="368"/>
      <c r="ACW4" s="368"/>
      <c r="ACX4" s="368"/>
      <c r="ACY4" s="368"/>
      <c r="ACZ4" s="368"/>
      <c r="ADA4" s="368"/>
      <c r="ADB4" s="368"/>
      <c r="ADC4" s="368"/>
      <c r="ADD4" s="368"/>
      <c r="ADE4" s="368"/>
      <c r="ADF4" s="368"/>
      <c r="ADG4" s="368"/>
      <c r="ADH4" s="368"/>
      <c r="ADI4" s="368"/>
      <c r="ADJ4" s="368"/>
      <c r="ADK4" s="368"/>
      <c r="ADL4" s="368"/>
      <c r="ADM4" s="368"/>
      <c r="ADN4" s="368"/>
      <c r="ADO4" s="368"/>
      <c r="ADP4" s="368"/>
      <c r="ADQ4" s="368"/>
      <c r="ADR4" s="368"/>
      <c r="ADS4" s="368"/>
      <c r="ADT4" s="368"/>
      <c r="ADU4" s="368"/>
      <c r="ADV4" s="368"/>
      <c r="ADW4" s="368"/>
      <c r="ADX4" s="368"/>
      <c r="ADY4" s="368"/>
      <c r="ADZ4" s="368"/>
      <c r="AEA4" s="368"/>
      <c r="AEB4" s="368"/>
      <c r="AEC4" s="368"/>
      <c r="AED4" s="368"/>
      <c r="AEE4" s="368"/>
      <c r="AEF4" s="368"/>
      <c r="AEG4" s="368"/>
      <c r="AEH4" s="368"/>
      <c r="AEI4" s="368"/>
      <c r="AEJ4" s="368"/>
      <c r="AEK4" s="368"/>
      <c r="AEL4" s="368"/>
      <c r="AEM4" s="368"/>
      <c r="AEN4" s="368"/>
      <c r="AEO4" s="368"/>
      <c r="AEP4" s="368"/>
      <c r="AEQ4" s="368"/>
      <c r="AER4" s="368"/>
      <c r="AES4" s="368"/>
      <c r="AET4" s="368"/>
      <c r="AEU4" s="368"/>
      <c r="AEV4" s="368"/>
      <c r="AEW4" s="368"/>
      <c r="AEX4" s="368"/>
      <c r="AEY4" s="368"/>
      <c r="AEZ4" s="368"/>
      <c r="AFA4" s="368"/>
      <c r="AFB4" s="368"/>
      <c r="AFC4" s="368"/>
      <c r="AFD4" s="368"/>
      <c r="AFE4" s="368"/>
      <c r="AFF4" s="368"/>
      <c r="AFG4" s="368"/>
      <c r="AFH4" s="368"/>
      <c r="AFI4" s="368"/>
      <c r="AFJ4" s="368"/>
      <c r="AFK4" s="368"/>
      <c r="AFL4" s="368"/>
      <c r="AFM4" s="368"/>
      <c r="AFN4" s="368"/>
      <c r="AFO4" s="368"/>
      <c r="AFP4" s="368"/>
      <c r="AFQ4" s="368"/>
      <c r="AFR4" s="368"/>
      <c r="AFS4" s="368"/>
      <c r="AFT4" s="368"/>
      <c r="AFU4" s="368"/>
      <c r="AFV4" s="368"/>
      <c r="AFW4" s="368"/>
      <c r="AFX4" s="368"/>
      <c r="AFY4" s="368"/>
      <c r="AFZ4" s="368"/>
      <c r="AGA4" s="368"/>
      <c r="AGB4" s="368"/>
      <c r="AGC4" s="368"/>
      <c r="AGD4" s="368"/>
      <c r="AGE4" s="368"/>
      <c r="AGF4" s="368"/>
      <c r="AGG4" s="368"/>
      <c r="AGH4" s="368"/>
      <c r="AGI4" s="368"/>
      <c r="AGJ4" s="368"/>
      <c r="AGK4" s="368"/>
      <c r="AGL4" s="368"/>
      <c r="AGM4" s="368"/>
      <c r="AGN4" s="368"/>
      <c r="AGO4" s="368"/>
      <c r="AGP4" s="368"/>
      <c r="AGQ4" s="368"/>
      <c r="AGR4" s="368"/>
      <c r="AGS4" s="368"/>
      <c r="AGT4" s="368"/>
      <c r="AGU4" s="368"/>
      <c r="AGV4" s="368"/>
      <c r="AGW4" s="368"/>
      <c r="AGX4" s="368"/>
      <c r="AGY4" s="368"/>
      <c r="AGZ4" s="368"/>
      <c r="AHA4" s="368"/>
      <c r="AHB4" s="368"/>
      <c r="AHC4" s="368"/>
      <c r="AHD4" s="368"/>
      <c r="AHE4" s="368"/>
      <c r="AHF4" s="368"/>
      <c r="AHG4" s="368"/>
      <c r="AHH4" s="368"/>
      <c r="AHI4" s="368"/>
      <c r="AHJ4" s="368"/>
      <c r="AHK4" s="368"/>
      <c r="AHL4" s="368"/>
      <c r="AHM4" s="368"/>
      <c r="AHN4" s="368"/>
      <c r="AHO4" s="368"/>
      <c r="AHP4" s="368"/>
      <c r="AHQ4" s="368"/>
      <c r="AHR4" s="368"/>
      <c r="AHS4" s="368"/>
      <c r="AHT4" s="368"/>
      <c r="AHU4" s="368"/>
      <c r="AHV4" s="368"/>
      <c r="AHW4" s="368"/>
      <c r="AHX4" s="368"/>
      <c r="AHY4" s="368"/>
      <c r="AHZ4" s="368"/>
      <c r="AIA4" s="368"/>
      <c r="AIB4" s="368"/>
      <c r="AIC4" s="368"/>
      <c r="AID4" s="368"/>
      <c r="AIE4" s="368"/>
      <c r="AIF4" s="368"/>
      <c r="AIG4" s="368"/>
      <c r="AIH4" s="368"/>
      <c r="AII4" s="368"/>
      <c r="AIJ4" s="368"/>
      <c r="AIK4" s="368"/>
      <c r="AIL4" s="368"/>
      <c r="AIM4" s="368"/>
      <c r="AIN4" s="368"/>
      <c r="AIO4" s="368"/>
      <c r="AIP4" s="368"/>
      <c r="AIQ4" s="368"/>
      <c r="AIR4" s="368"/>
      <c r="AIS4" s="368"/>
      <c r="AIT4" s="368"/>
      <c r="AIU4" s="368"/>
      <c r="AIV4" s="368"/>
      <c r="AIW4" s="368"/>
      <c r="AIX4" s="368"/>
      <c r="AIY4" s="368"/>
      <c r="AIZ4" s="368"/>
      <c r="AJA4" s="368"/>
      <c r="AJB4" s="368"/>
      <c r="AJC4" s="368"/>
      <c r="AJD4" s="368"/>
      <c r="AJE4" s="368"/>
      <c r="AJF4" s="368"/>
      <c r="AJG4" s="368"/>
      <c r="AJH4" s="368"/>
      <c r="AJI4" s="368"/>
      <c r="AJJ4" s="368"/>
      <c r="AJK4" s="368"/>
      <c r="AJL4" s="368"/>
      <c r="AJM4" s="368"/>
      <c r="AJN4" s="368"/>
      <c r="AJO4" s="368"/>
      <c r="AJP4" s="368"/>
      <c r="AJQ4" s="368"/>
      <c r="AJR4" s="368"/>
      <c r="AJS4" s="368"/>
      <c r="AJT4" s="368"/>
      <c r="AJU4" s="368"/>
      <c r="AJV4" s="368"/>
      <c r="AJW4" s="368"/>
      <c r="AJX4" s="368"/>
      <c r="AJY4" s="368"/>
      <c r="AJZ4" s="368"/>
      <c r="AKA4" s="368"/>
      <c r="AKB4" s="368"/>
      <c r="AKC4" s="368"/>
      <c r="AKD4" s="368"/>
      <c r="AKE4" s="368"/>
      <c r="AKF4" s="368"/>
      <c r="AKG4" s="368"/>
      <c r="AKH4" s="368"/>
      <c r="AKI4" s="368"/>
      <c r="AKJ4" s="368"/>
      <c r="AKK4" s="368"/>
      <c r="AKL4" s="368"/>
      <c r="AKM4" s="368"/>
      <c r="AKN4" s="368"/>
      <c r="AKO4" s="368"/>
      <c r="AKP4" s="368"/>
      <c r="AKQ4" s="368"/>
      <c r="AKR4" s="368"/>
      <c r="AKS4" s="368"/>
      <c r="AKT4" s="368"/>
      <c r="AKU4" s="368"/>
      <c r="AKV4" s="368"/>
      <c r="AKW4" s="368"/>
      <c r="AKX4" s="368"/>
      <c r="AKY4" s="368"/>
      <c r="AKZ4" s="368"/>
      <c r="ALA4" s="368"/>
      <c r="ALB4" s="368"/>
      <c r="ALC4" s="368"/>
      <c r="ALD4" s="368"/>
      <c r="ALE4" s="368"/>
      <c r="ALF4" s="368"/>
      <c r="ALG4" s="368"/>
      <c r="ALH4" s="368"/>
      <c r="ALI4" s="368"/>
      <c r="ALJ4" s="368"/>
      <c r="ALK4" s="368"/>
      <c r="ALL4" s="368"/>
      <c r="ALM4" s="368"/>
      <c r="ALN4" s="368"/>
      <c r="ALO4" s="368"/>
      <c r="ALP4" s="368"/>
      <c r="ALQ4" s="368"/>
      <c r="ALR4" s="368"/>
      <c r="ALS4" s="368"/>
      <c r="ALT4" s="368"/>
      <c r="ALU4" s="368"/>
      <c r="ALV4" s="368"/>
      <c r="ALW4" s="368"/>
      <c r="ALX4" s="368"/>
      <c r="ALY4" s="368"/>
      <c r="ALZ4" s="368"/>
      <c r="AMA4" s="368"/>
      <c r="AMB4" s="368"/>
      <c r="AMC4" s="368"/>
      <c r="AMD4" s="368"/>
      <c r="AME4" s="368"/>
      <c r="AMF4" s="368"/>
      <c r="AMG4" s="368"/>
      <c r="AMH4" s="368"/>
      <c r="AMI4" s="368"/>
      <c r="AMJ4" s="368"/>
      <c r="AMK4" s="368"/>
      <c r="AML4" s="368"/>
      <c r="AMM4" s="368"/>
      <c r="AMN4" s="368"/>
      <c r="AMO4" s="368"/>
    </row>
    <row r="5" spans="1:1029" x14ac:dyDescent="0.25">
      <c r="A5" s="188">
        <v>44378</v>
      </c>
      <c r="B5" s="189" t="s">
        <v>110</v>
      </c>
      <c r="C5" s="478"/>
      <c r="D5" s="191"/>
      <c r="E5" s="490"/>
      <c r="F5" s="200"/>
      <c r="G5" s="193">
        <f>+'Apr - Jun 2024'!G39</f>
        <v>62284.39</v>
      </c>
      <c r="H5" s="194">
        <f>'Apr - Jun 2024'!H39</f>
        <v>0</v>
      </c>
      <c r="I5" s="195">
        <f>'Apr - Jun 2024'!I39</f>
        <v>0</v>
      </c>
      <c r="J5" s="195">
        <f>'Apr - Jun 2024'!J39</f>
        <v>1413</v>
      </c>
      <c r="K5" s="189">
        <f>'Apr - Jun 2024'!K39</f>
        <v>0</v>
      </c>
      <c r="L5" s="196">
        <f>'Apr - Jun 2024'!L39</f>
        <v>14828.86</v>
      </c>
      <c r="M5" s="215">
        <f>'Apr - Jun 2024'!M39</f>
        <v>4817.79</v>
      </c>
      <c r="N5" s="216">
        <f>'Apr - Jun 2024'!N39</f>
        <v>821.88000000000011</v>
      </c>
      <c r="O5" s="216">
        <f>'Apr - Jun 2024'!O39</f>
        <v>5046.03</v>
      </c>
      <c r="P5" s="216">
        <f>'Apr - Jun 2024'!P39</f>
        <v>330</v>
      </c>
      <c r="Q5" s="216">
        <f>+'Apr - Jun 2024'!Q39</f>
        <v>18</v>
      </c>
      <c r="R5" s="216">
        <f>'Apr - Jun 2024'!R39</f>
        <v>320</v>
      </c>
      <c r="S5" s="216">
        <f>'Apr - Jun 2024'!S39</f>
        <v>790.17</v>
      </c>
      <c r="T5" s="216">
        <f>'Apr - Jun 2024'!T39</f>
        <v>470.49</v>
      </c>
      <c r="U5" s="216">
        <f>'Apr - Jun 2024'!U39</f>
        <v>0</v>
      </c>
      <c r="V5" s="216">
        <f>'Apr - Jun 2024'!V39</f>
        <v>0</v>
      </c>
      <c r="W5" s="216">
        <f>'Apr - Jun 2024'!W39</f>
        <v>0</v>
      </c>
      <c r="X5" s="216">
        <f>'Apr - Jun 2024'!X39</f>
        <v>0</v>
      </c>
      <c r="Y5" s="216">
        <f>'Apr - Jun 2024'!Y39</f>
        <v>0</v>
      </c>
      <c r="Z5" s="216">
        <f>'Apr - Jun 2024'!Z39</f>
        <v>900.45</v>
      </c>
      <c r="AA5" s="216">
        <f>'Apr - Jun 2024'!AA39</f>
        <v>35.700000000000003</v>
      </c>
      <c r="AB5" s="216">
        <f>'Apr - Jun 2024'!AB39</f>
        <v>0</v>
      </c>
      <c r="AC5" s="216">
        <f>'Apr - Jun 2024'!AC39</f>
        <v>0</v>
      </c>
      <c r="AD5" s="216">
        <f>'Apr - Jun 2024'!AD39</f>
        <v>1278.3499999999999</v>
      </c>
      <c r="AE5" s="217"/>
      <c r="AH5" s="216">
        <f>'Apr - Jun 2024'!AH39</f>
        <v>742</v>
      </c>
    </row>
    <row r="6" spans="1:1029" x14ac:dyDescent="0.25">
      <c r="A6" s="499">
        <v>45488</v>
      </c>
      <c r="B6" s="500" t="s">
        <v>111</v>
      </c>
      <c r="C6" s="501" t="s">
        <v>112</v>
      </c>
      <c r="D6" s="502" t="s">
        <v>112</v>
      </c>
      <c r="E6" s="503">
        <v>3083.83</v>
      </c>
      <c r="F6" s="504">
        <v>45488</v>
      </c>
      <c r="G6" s="91">
        <v>3083.83</v>
      </c>
      <c r="H6" s="92"/>
      <c r="I6" s="93"/>
      <c r="J6" s="93"/>
      <c r="K6" s="94">
        <v>3083.83</v>
      </c>
      <c r="L6" s="95"/>
      <c r="M6" s="96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240"/>
      <c r="AD6" s="97"/>
      <c r="AE6" s="97"/>
      <c r="AF6" s="80">
        <f t="shared" ref="AF6:AF34" si="0">+L6-SUM(M6:AD6)</f>
        <v>0</v>
      </c>
      <c r="AG6" s="80"/>
      <c r="AH6" s="35"/>
    </row>
    <row r="7" spans="1:1029" x14ac:dyDescent="0.25">
      <c r="A7" s="499">
        <v>45488</v>
      </c>
      <c r="B7" s="500" t="s">
        <v>113</v>
      </c>
      <c r="C7" s="501" t="s">
        <v>114</v>
      </c>
      <c r="D7" s="502" t="s">
        <v>115</v>
      </c>
      <c r="E7" s="503">
        <v>90.5</v>
      </c>
      <c r="F7" s="504">
        <v>45488</v>
      </c>
      <c r="G7" s="183">
        <v>90.5</v>
      </c>
      <c r="H7" s="184"/>
      <c r="I7" s="185"/>
      <c r="J7" s="185">
        <v>90.5</v>
      </c>
      <c r="K7" s="186"/>
      <c r="L7" s="95"/>
      <c r="M7" s="96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240"/>
      <c r="AD7" s="97"/>
      <c r="AE7" s="97"/>
      <c r="AF7" s="80">
        <f t="shared" si="0"/>
        <v>0</v>
      </c>
      <c r="AG7" s="80"/>
      <c r="AH7" s="35"/>
    </row>
    <row r="8" spans="1:1029" x14ac:dyDescent="0.25">
      <c r="A8" s="499">
        <v>45489</v>
      </c>
      <c r="B8" s="505" t="s">
        <v>38</v>
      </c>
      <c r="C8" s="501" t="s">
        <v>116</v>
      </c>
      <c r="D8" s="502">
        <v>680542078</v>
      </c>
      <c r="E8" s="503">
        <v>1130.4100000000001</v>
      </c>
      <c r="F8" s="504">
        <v>45495</v>
      </c>
      <c r="G8" s="91"/>
      <c r="H8" s="92"/>
      <c r="I8" s="93"/>
      <c r="J8" s="93"/>
      <c r="K8" s="94"/>
      <c r="L8" s="95">
        <v>1130.4100000000001</v>
      </c>
      <c r="M8" s="96">
        <v>1077.9100000000001</v>
      </c>
      <c r="N8" s="93">
        <v>52.5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240"/>
      <c r="AD8" s="97"/>
      <c r="AE8" s="97"/>
      <c r="AF8" s="80">
        <f t="shared" si="0"/>
        <v>0</v>
      </c>
      <c r="AG8" s="80"/>
      <c r="AH8" s="35"/>
    </row>
    <row r="9" spans="1:1029" x14ac:dyDescent="0.25">
      <c r="A9" s="499">
        <v>45489</v>
      </c>
      <c r="B9" s="506" t="s">
        <v>40</v>
      </c>
      <c r="C9" s="501" t="s">
        <v>116</v>
      </c>
      <c r="D9" s="502">
        <v>240826215</v>
      </c>
      <c r="E9" s="503">
        <v>91.63</v>
      </c>
      <c r="F9" s="504">
        <v>45495</v>
      </c>
      <c r="G9" s="91"/>
      <c r="H9" s="92"/>
      <c r="I9" s="93"/>
      <c r="J9" s="93"/>
      <c r="K9" s="94"/>
      <c r="L9" s="95">
        <v>91.63</v>
      </c>
      <c r="M9" s="96">
        <v>91.63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240"/>
      <c r="AD9" s="97"/>
      <c r="AE9" s="97"/>
      <c r="AF9" s="80">
        <f t="shared" si="0"/>
        <v>0</v>
      </c>
      <c r="AG9" s="80"/>
      <c r="AH9" s="35"/>
    </row>
    <row r="10" spans="1:1029" x14ac:dyDescent="0.25">
      <c r="A10" s="499">
        <v>45489</v>
      </c>
      <c r="B10" s="506" t="s">
        <v>41</v>
      </c>
      <c r="C10" s="501" t="s">
        <v>116</v>
      </c>
      <c r="D10" s="502">
        <v>321232420</v>
      </c>
      <c r="E10" s="503">
        <v>430.6</v>
      </c>
      <c r="F10" s="504">
        <v>45495</v>
      </c>
      <c r="G10" s="91"/>
      <c r="H10" s="92"/>
      <c r="I10" s="93"/>
      <c r="J10" s="93"/>
      <c r="K10" s="94"/>
      <c r="L10" s="95">
        <v>430.6</v>
      </c>
      <c r="M10" s="96">
        <v>430.6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240"/>
      <c r="AD10" s="97"/>
      <c r="AE10" s="97"/>
      <c r="AF10" s="80">
        <f t="shared" si="0"/>
        <v>0</v>
      </c>
      <c r="AG10" s="80"/>
      <c r="AH10" s="35"/>
    </row>
    <row r="11" spans="1:1029" x14ac:dyDescent="0.25">
      <c r="A11" s="499">
        <v>45489</v>
      </c>
      <c r="B11" s="506" t="s">
        <v>42</v>
      </c>
      <c r="C11" s="507">
        <v>8227</v>
      </c>
      <c r="D11" s="502">
        <v>62889027</v>
      </c>
      <c r="E11" s="503">
        <v>2117.5</v>
      </c>
      <c r="F11" s="504">
        <v>45495</v>
      </c>
      <c r="G11" s="91"/>
      <c r="H11" s="92"/>
      <c r="I11" s="93"/>
      <c r="J11" s="93"/>
      <c r="K11" s="94"/>
      <c r="L11" s="95">
        <v>704.7</v>
      </c>
      <c r="M11" s="96"/>
      <c r="N11" s="93"/>
      <c r="O11" s="93">
        <v>587.25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240"/>
      <c r="AD11" s="97">
        <v>117.45</v>
      </c>
      <c r="AE11" s="97" t="s">
        <v>44</v>
      </c>
      <c r="AF11" s="80">
        <f t="shared" si="0"/>
        <v>0</v>
      </c>
      <c r="AG11" s="80"/>
      <c r="AH11" s="35"/>
    </row>
    <row r="12" spans="1:1029" x14ac:dyDescent="0.25">
      <c r="A12" s="499">
        <v>45489</v>
      </c>
      <c r="B12" s="506" t="s">
        <v>42</v>
      </c>
      <c r="C12" s="507">
        <v>8275</v>
      </c>
      <c r="D12" s="502">
        <v>62889027</v>
      </c>
      <c r="E12" s="503">
        <v>2117.5</v>
      </c>
      <c r="F12" s="504">
        <v>45495</v>
      </c>
      <c r="G12" s="91"/>
      <c r="H12" s="92"/>
      <c r="I12" s="93"/>
      <c r="J12" s="93"/>
      <c r="K12" s="94"/>
      <c r="L12" s="95">
        <v>1412.8</v>
      </c>
      <c r="M12" s="96"/>
      <c r="N12" s="93"/>
      <c r="O12" s="93">
        <v>1177.33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240"/>
      <c r="AD12" s="97">
        <v>235.47</v>
      </c>
      <c r="AE12" s="97" t="s">
        <v>44</v>
      </c>
      <c r="AF12" s="80">
        <f t="shared" si="0"/>
        <v>0</v>
      </c>
      <c r="AG12" s="80"/>
      <c r="AH12" s="132"/>
    </row>
    <row r="13" spans="1:1029" x14ac:dyDescent="0.25">
      <c r="A13" s="499">
        <v>45489</v>
      </c>
      <c r="B13" s="500" t="s">
        <v>82</v>
      </c>
      <c r="C13" s="507">
        <v>27150</v>
      </c>
      <c r="D13" s="502">
        <v>875923777</v>
      </c>
      <c r="E13" s="503">
        <v>110.52</v>
      </c>
      <c r="F13" s="504">
        <v>45495</v>
      </c>
      <c r="G13" s="91"/>
      <c r="H13" s="92"/>
      <c r="I13" s="93"/>
      <c r="J13" s="93"/>
      <c r="K13" s="94"/>
      <c r="L13" s="95">
        <v>110.52</v>
      </c>
      <c r="M13" s="96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>
        <v>92.1</v>
      </c>
      <c r="AB13" s="93"/>
      <c r="AC13" s="240"/>
      <c r="AD13" s="97">
        <v>18.420000000000002</v>
      </c>
      <c r="AE13" s="97" t="s">
        <v>84</v>
      </c>
      <c r="AF13" s="80">
        <f t="shared" si="0"/>
        <v>0</v>
      </c>
      <c r="AG13" s="80"/>
      <c r="AH13" s="35"/>
    </row>
    <row r="14" spans="1:1029" x14ac:dyDescent="0.25">
      <c r="A14" s="499">
        <v>45489</v>
      </c>
      <c r="B14" s="508" t="s">
        <v>117</v>
      </c>
      <c r="C14" s="509">
        <v>18676</v>
      </c>
      <c r="D14" s="502">
        <v>36662774</v>
      </c>
      <c r="E14" s="503">
        <v>282</v>
      </c>
      <c r="F14" s="504">
        <v>45502</v>
      </c>
      <c r="G14" s="91"/>
      <c r="H14" s="92"/>
      <c r="I14" s="93"/>
      <c r="J14" s="93"/>
      <c r="K14" s="94"/>
      <c r="L14" s="95">
        <v>282</v>
      </c>
      <c r="M14" s="96"/>
      <c r="N14" s="93"/>
      <c r="O14" s="93"/>
      <c r="P14" s="93"/>
      <c r="Q14" s="93"/>
      <c r="R14" s="93"/>
      <c r="S14" s="93"/>
      <c r="T14" s="93"/>
      <c r="U14" s="93">
        <v>235</v>
      </c>
      <c r="V14" s="93"/>
      <c r="W14" s="93"/>
      <c r="X14" s="93"/>
      <c r="Y14" s="93"/>
      <c r="Z14" s="93"/>
      <c r="AA14" s="93"/>
      <c r="AB14" s="93"/>
      <c r="AC14" s="240"/>
      <c r="AD14" s="97">
        <v>47</v>
      </c>
      <c r="AE14" s="97" t="s">
        <v>118</v>
      </c>
      <c r="AF14" s="80">
        <f t="shared" si="0"/>
        <v>0</v>
      </c>
      <c r="AG14" s="80"/>
      <c r="AH14" s="37"/>
    </row>
    <row r="15" spans="1:1029" x14ac:dyDescent="0.25">
      <c r="A15" s="499">
        <v>45489</v>
      </c>
      <c r="B15" s="500" t="s">
        <v>119</v>
      </c>
      <c r="C15" s="507">
        <v>4428949</v>
      </c>
      <c r="D15" s="502">
        <v>472897999</v>
      </c>
      <c r="E15" s="503">
        <v>75.680000000000007</v>
      </c>
      <c r="F15" s="504">
        <v>45495</v>
      </c>
      <c r="G15" s="91"/>
      <c r="H15" s="92"/>
      <c r="I15" s="93"/>
      <c r="J15" s="93"/>
      <c r="K15" s="94"/>
      <c r="L15" s="95">
        <v>75.680000000000007</v>
      </c>
      <c r="M15" s="96"/>
      <c r="N15" s="93">
        <v>63.07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240"/>
      <c r="AD15" s="97">
        <v>12.61</v>
      </c>
      <c r="AE15" s="97" t="s">
        <v>120</v>
      </c>
      <c r="AF15" s="80">
        <f t="shared" si="0"/>
        <v>0</v>
      </c>
      <c r="AG15" s="80"/>
      <c r="AH15" s="37"/>
    </row>
    <row r="16" spans="1:1029" x14ac:dyDescent="0.25">
      <c r="A16" s="510">
        <v>45524</v>
      </c>
      <c r="B16" s="505" t="s">
        <v>38</v>
      </c>
      <c r="C16" s="507" t="s">
        <v>121</v>
      </c>
      <c r="D16" s="502">
        <v>301676460</v>
      </c>
      <c r="E16" s="503">
        <v>1130.24</v>
      </c>
      <c r="F16" s="504">
        <v>45527</v>
      </c>
      <c r="G16" s="91"/>
      <c r="H16" s="92"/>
      <c r="I16" s="93"/>
      <c r="J16" s="93"/>
      <c r="K16" s="94"/>
      <c r="L16" s="95">
        <v>1130.21</v>
      </c>
      <c r="M16" s="96">
        <v>1077.71</v>
      </c>
      <c r="N16" s="93">
        <v>52.5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240"/>
      <c r="AD16" s="97"/>
      <c r="AE16" s="97"/>
      <c r="AF16" s="80">
        <f t="shared" si="0"/>
        <v>0</v>
      </c>
      <c r="AG16" s="80"/>
      <c r="AH16" s="37"/>
    </row>
    <row r="17" spans="1:34" x14ac:dyDescent="0.25">
      <c r="A17" s="510">
        <v>45524</v>
      </c>
      <c r="B17" s="506" t="s">
        <v>40</v>
      </c>
      <c r="C17" s="507" t="s">
        <v>121</v>
      </c>
      <c r="D17" s="502">
        <v>60317940</v>
      </c>
      <c r="E17" s="503">
        <v>91.83</v>
      </c>
      <c r="F17" s="504">
        <v>45527</v>
      </c>
      <c r="G17" s="91"/>
      <c r="H17" s="92"/>
      <c r="I17" s="93"/>
      <c r="J17" s="93"/>
      <c r="K17" s="94"/>
      <c r="L17" s="95">
        <v>91.83</v>
      </c>
      <c r="M17" s="96">
        <v>91.83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240"/>
      <c r="AD17" s="97"/>
      <c r="AE17" s="97"/>
      <c r="AF17" s="80">
        <f t="shared" ref="AF17:AF26" si="1">+L17-SUM(M17:AD17)</f>
        <v>0</v>
      </c>
      <c r="AG17" s="80"/>
      <c r="AH17" s="37"/>
    </row>
    <row r="18" spans="1:34" x14ac:dyDescent="0.25">
      <c r="A18" s="510">
        <v>45524</v>
      </c>
      <c r="B18" s="506" t="s">
        <v>41</v>
      </c>
      <c r="C18" s="507" t="s">
        <v>121</v>
      </c>
      <c r="D18" s="502">
        <v>107530022</v>
      </c>
      <c r="E18" s="503">
        <v>430.6</v>
      </c>
      <c r="F18" s="504">
        <v>45527</v>
      </c>
      <c r="G18" s="91"/>
      <c r="H18" s="92"/>
      <c r="I18" s="93"/>
      <c r="J18" s="93"/>
      <c r="K18" s="94"/>
      <c r="L18" s="95">
        <v>430.6</v>
      </c>
      <c r="M18" s="96">
        <v>430.6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240"/>
      <c r="AD18" s="97"/>
      <c r="AE18" s="97"/>
      <c r="AF18" s="80">
        <f t="shared" si="1"/>
        <v>0</v>
      </c>
      <c r="AG18" s="80"/>
      <c r="AH18" s="37"/>
    </row>
    <row r="19" spans="1:34" x14ac:dyDescent="0.25">
      <c r="A19" s="510">
        <v>45524</v>
      </c>
      <c r="B19" s="506" t="s">
        <v>42</v>
      </c>
      <c r="C19" s="507">
        <v>8337</v>
      </c>
      <c r="D19" s="502">
        <v>578390960</v>
      </c>
      <c r="E19" s="503">
        <v>1104.5999999999999</v>
      </c>
      <c r="F19" s="504">
        <v>45527</v>
      </c>
      <c r="G19" s="91"/>
      <c r="H19" s="92"/>
      <c r="I19" s="93"/>
      <c r="J19" s="93"/>
      <c r="K19" s="94"/>
      <c r="L19" s="95">
        <v>505.8</v>
      </c>
      <c r="M19" s="96"/>
      <c r="N19" s="93"/>
      <c r="O19" s="93">
        <v>421.5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240"/>
      <c r="AD19" s="97">
        <v>84.3</v>
      </c>
      <c r="AE19" s="97" t="s">
        <v>44</v>
      </c>
      <c r="AF19" s="80">
        <f t="shared" si="1"/>
        <v>0</v>
      </c>
      <c r="AG19" s="80"/>
      <c r="AH19" s="37"/>
    </row>
    <row r="20" spans="1:34" x14ac:dyDescent="0.25">
      <c r="A20" s="510">
        <v>45524</v>
      </c>
      <c r="B20" s="506" t="s">
        <v>42</v>
      </c>
      <c r="C20" s="507">
        <v>8356</v>
      </c>
      <c r="D20" s="502">
        <v>578390960</v>
      </c>
      <c r="E20" s="503">
        <v>1104.5999999999999</v>
      </c>
      <c r="F20" s="504">
        <v>45527</v>
      </c>
      <c r="G20" s="91"/>
      <c r="H20" s="92"/>
      <c r="I20" s="93"/>
      <c r="J20" s="93"/>
      <c r="K20" s="94"/>
      <c r="L20" s="95">
        <v>598.79999999999995</v>
      </c>
      <c r="M20" s="96"/>
      <c r="N20" s="93"/>
      <c r="O20" s="93">
        <v>499</v>
      </c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240"/>
      <c r="AD20" s="97">
        <v>99.8</v>
      </c>
      <c r="AE20" s="97" t="s">
        <v>44</v>
      </c>
      <c r="AF20" s="80">
        <f t="shared" si="1"/>
        <v>0</v>
      </c>
      <c r="AG20" s="80"/>
      <c r="AH20" s="37"/>
    </row>
    <row r="21" spans="1:34" x14ac:dyDescent="0.25">
      <c r="A21" s="510">
        <v>45524</v>
      </c>
      <c r="B21" s="508" t="s">
        <v>122</v>
      </c>
      <c r="C21" s="507" t="s">
        <v>123</v>
      </c>
      <c r="D21" s="502">
        <v>241149456</v>
      </c>
      <c r="E21" s="503">
        <v>3000</v>
      </c>
      <c r="F21" s="504">
        <v>45527</v>
      </c>
      <c r="G21" s="91"/>
      <c r="H21" s="92"/>
      <c r="I21" s="93"/>
      <c r="J21" s="93"/>
      <c r="K21" s="94"/>
      <c r="L21" s="95">
        <v>3000</v>
      </c>
      <c r="M21" s="96"/>
      <c r="N21" s="93"/>
      <c r="O21" s="93"/>
      <c r="P21" s="93"/>
      <c r="Q21" s="93"/>
      <c r="R21" s="93"/>
      <c r="S21" s="93"/>
      <c r="T21" s="93"/>
      <c r="U21" s="93"/>
      <c r="V21" s="93"/>
      <c r="W21" s="93">
        <v>3000</v>
      </c>
      <c r="X21" s="93"/>
      <c r="Y21" s="93"/>
      <c r="Z21" s="93"/>
      <c r="AA21" s="93"/>
      <c r="AB21" s="93"/>
      <c r="AC21" s="240"/>
      <c r="AD21" s="97"/>
      <c r="AE21" s="97"/>
      <c r="AF21" s="80">
        <f t="shared" si="1"/>
        <v>0</v>
      </c>
      <c r="AG21" s="80"/>
      <c r="AH21" s="37">
        <v>3000</v>
      </c>
    </row>
    <row r="22" spans="1:34" s="99" customFormat="1" ht="14.25" x14ac:dyDescent="0.2">
      <c r="A22" s="510">
        <v>45524</v>
      </c>
      <c r="B22" s="508" t="s">
        <v>124</v>
      </c>
      <c r="C22" s="507" t="s">
        <v>125</v>
      </c>
      <c r="D22" s="502">
        <v>741275371</v>
      </c>
      <c r="E22" s="503">
        <v>2000</v>
      </c>
      <c r="F22" s="504">
        <v>45527</v>
      </c>
      <c r="G22" s="91"/>
      <c r="H22" s="92"/>
      <c r="I22" s="93"/>
      <c r="J22" s="93"/>
      <c r="K22" s="94"/>
      <c r="L22" s="95">
        <v>2000</v>
      </c>
      <c r="M22" s="96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>
        <v>2000</v>
      </c>
      <c r="AC22" s="240"/>
      <c r="AD22" s="97"/>
      <c r="AE22" s="97"/>
      <c r="AF22" s="80">
        <f t="shared" si="1"/>
        <v>0</v>
      </c>
      <c r="AG22" s="80"/>
      <c r="AH22" s="37"/>
    </row>
    <row r="23" spans="1:34" s="99" customFormat="1" ht="14.25" x14ac:dyDescent="0.2">
      <c r="A23" s="510">
        <v>45524</v>
      </c>
      <c r="B23" s="508" t="s">
        <v>126</v>
      </c>
      <c r="C23" s="507" t="s">
        <v>127</v>
      </c>
      <c r="D23" s="502">
        <v>230314111</v>
      </c>
      <c r="E23" s="503">
        <v>378</v>
      </c>
      <c r="F23" s="504">
        <v>45527</v>
      </c>
      <c r="G23" s="91"/>
      <c r="H23" s="92"/>
      <c r="I23" s="93"/>
      <c r="J23" s="93"/>
      <c r="K23" s="94"/>
      <c r="L23" s="95">
        <v>378</v>
      </c>
      <c r="M23" s="96"/>
      <c r="N23" s="93"/>
      <c r="O23" s="93"/>
      <c r="P23" s="93"/>
      <c r="Q23" s="93"/>
      <c r="R23" s="93">
        <v>315</v>
      </c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240"/>
      <c r="AD23" s="97">
        <v>63</v>
      </c>
      <c r="AE23" s="97" t="s">
        <v>128</v>
      </c>
      <c r="AF23" s="80">
        <f t="shared" si="1"/>
        <v>0</v>
      </c>
      <c r="AG23" s="80"/>
      <c r="AH23" s="37"/>
    </row>
    <row r="24" spans="1:34" s="99" customFormat="1" ht="14.25" x14ac:dyDescent="0.2">
      <c r="A24" s="510">
        <v>45531</v>
      </c>
      <c r="B24" s="508" t="s">
        <v>129</v>
      </c>
      <c r="C24" s="507">
        <v>20263566</v>
      </c>
      <c r="D24" s="502" t="s">
        <v>28</v>
      </c>
      <c r="E24" s="503">
        <v>2364</v>
      </c>
      <c r="F24" s="504">
        <v>45531</v>
      </c>
      <c r="G24" s="91"/>
      <c r="H24" s="92"/>
      <c r="I24" s="93"/>
      <c r="J24" s="93">
        <v>2364</v>
      </c>
      <c r="K24" s="94"/>
      <c r="L24" s="95"/>
      <c r="M24" s="96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240"/>
      <c r="AD24" s="97"/>
      <c r="AE24" s="97"/>
      <c r="AF24" s="80"/>
      <c r="AG24" s="80"/>
      <c r="AH24" s="37"/>
    </row>
    <row r="25" spans="1:34" x14ac:dyDescent="0.25">
      <c r="A25" s="510">
        <v>45552</v>
      </c>
      <c r="B25" s="505" t="s">
        <v>38</v>
      </c>
      <c r="C25" s="507" t="s">
        <v>130</v>
      </c>
      <c r="D25" s="502">
        <v>64894151</v>
      </c>
      <c r="E25" s="503">
        <v>1130.4100000000001</v>
      </c>
      <c r="F25" s="504">
        <v>45565</v>
      </c>
      <c r="G25" s="91"/>
      <c r="H25" s="92"/>
      <c r="I25" s="93"/>
      <c r="J25" s="93"/>
      <c r="K25" s="94"/>
      <c r="L25" s="95">
        <v>1130.4100000000001</v>
      </c>
      <c r="M25" s="96">
        <v>1077.9100000000001</v>
      </c>
      <c r="N25" s="93">
        <v>52.5</v>
      </c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240"/>
      <c r="AD25" s="97"/>
      <c r="AE25" s="97"/>
      <c r="AF25" s="80">
        <f t="shared" si="1"/>
        <v>0</v>
      </c>
      <c r="AG25" s="80"/>
      <c r="AH25" s="37"/>
    </row>
    <row r="26" spans="1:34" x14ac:dyDescent="0.25">
      <c r="A26" s="510">
        <v>45552</v>
      </c>
      <c r="B26" s="506" t="s">
        <v>40</v>
      </c>
      <c r="C26" s="507" t="s">
        <v>130</v>
      </c>
      <c r="D26" s="502">
        <v>12001309</v>
      </c>
      <c r="E26" s="503">
        <v>91.63</v>
      </c>
      <c r="F26" s="504">
        <v>45565</v>
      </c>
      <c r="G26" s="91"/>
      <c r="H26" s="92"/>
      <c r="I26" s="93"/>
      <c r="J26" s="93"/>
      <c r="K26" s="94"/>
      <c r="L26" s="95">
        <v>91.63</v>
      </c>
      <c r="M26" s="96">
        <v>91.63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240"/>
      <c r="AD26" s="97"/>
      <c r="AE26" s="97"/>
      <c r="AF26" s="80">
        <f t="shared" si="1"/>
        <v>0</v>
      </c>
      <c r="AG26" s="80"/>
      <c r="AH26" s="37"/>
    </row>
    <row r="27" spans="1:34" x14ac:dyDescent="0.25">
      <c r="A27" s="510">
        <v>45552</v>
      </c>
      <c r="B27" s="506" t="s">
        <v>41</v>
      </c>
      <c r="C27" s="507" t="s">
        <v>130</v>
      </c>
      <c r="D27" s="502">
        <v>542193264</v>
      </c>
      <c r="E27" s="503">
        <v>430.6</v>
      </c>
      <c r="F27" s="504">
        <v>45565</v>
      </c>
      <c r="G27" s="91"/>
      <c r="H27" s="92"/>
      <c r="I27" s="93"/>
      <c r="J27" s="93"/>
      <c r="K27" s="94"/>
      <c r="L27" s="95">
        <v>430.6</v>
      </c>
      <c r="M27" s="96">
        <v>430.6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240"/>
      <c r="AD27" s="97"/>
      <c r="AE27" s="97"/>
      <c r="AF27" s="80">
        <f t="shared" ref="AF27:AF31" si="2">+L27-SUM(M27:AD27)</f>
        <v>0</v>
      </c>
      <c r="AG27" s="80"/>
      <c r="AH27" s="37"/>
    </row>
    <row r="28" spans="1:34" x14ac:dyDescent="0.25">
      <c r="A28" s="510">
        <v>45552</v>
      </c>
      <c r="B28" s="500" t="s">
        <v>42</v>
      </c>
      <c r="C28" s="507">
        <v>8396</v>
      </c>
      <c r="D28" s="502">
        <v>977320501</v>
      </c>
      <c r="E28" s="503">
        <v>793.8</v>
      </c>
      <c r="F28" s="504">
        <v>45565</v>
      </c>
      <c r="G28" s="91"/>
      <c r="H28" s="92"/>
      <c r="I28" s="93"/>
      <c r="J28" s="93"/>
      <c r="K28" s="94"/>
      <c r="L28" s="95">
        <v>793.8</v>
      </c>
      <c r="M28" s="96"/>
      <c r="N28" s="93"/>
      <c r="O28" s="93">
        <v>661.5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240"/>
      <c r="AD28" s="97">
        <v>132.30000000000001</v>
      </c>
      <c r="AE28" s="97" t="s">
        <v>44</v>
      </c>
      <c r="AF28" s="80">
        <f t="shared" si="2"/>
        <v>0</v>
      </c>
      <c r="AG28" s="80"/>
      <c r="AH28" s="37"/>
    </row>
    <row r="29" spans="1:34" x14ac:dyDescent="0.25">
      <c r="A29" s="510">
        <v>45552</v>
      </c>
      <c r="B29" s="500" t="s">
        <v>131</v>
      </c>
      <c r="C29" s="507">
        <v>31082024</v>
      </c>
      <c r="D29" s="502">
        <v>224876429</v>
      </c>
      <c r="E29" s="503">
        <v>3350</v>
      </c>
      <c r="F29" s="504">
        <v>45565</v>
      </c>
      <c r="G29" s="91"/>
      <c r="H29" s="92"/>
      <c r="I29" s="93"/>
      <c r="J29" s="93"/>
      <c r="K29" s="94"/>
      <c r="L29" s="95">
        <v>3350</v>
      </c>
      <c r="M29" s="96"/>
      <c r="N29" s="93">
        <v>3350</v>
      </c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240"/>
      <c r="AD29" s="97"/>
      <c r="AE29" s="97"/>
      <c r="AF29" s="80">
        <f t="shared" ref="AF29" si="3">+L29-SUM(M29:AD29)</f>
        <v>0</v>
      </c>
      <c r="AG29" s="80"/>
      <c r="AH29" s="37"/>
    </row>
    <row r="30" spans="1:34" x14ac:dyDescent="0.25">
      <c r="A30" s="510">
        <v>45565</v>
      </c>
      <c r="B30" s="508" t="s">
        <v>132</v>
      </c>
      <c r="C30" s="507" t="s">
        <v>90</v>
      </c>
      <c r="D30" s="502" t="s">
        <v>133</v>
      </c>
      <c r="E30" s="503">
        <v>18</v>
      </c>
      <c r="F30" s="504">
        <v>45565</v>
      </c>
      <c r="G30" s="91"/>
      <c r="H30" s="92"/>
      <c r="I30" s="93"/>
      <c r="J30" s="93"/>
      <c r="K30" s="94"/>
      <c r="L30" s="95">
        <v>18</v>
      </c>
      <c r="M30" s="96"/>
      <c r="N30" s="93"/>
      <c r="O30" s="93"/>
      <c r="P30" s="93"/>
      <c r="Q30" s="93">
        <v>18</v>
      </c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240"/>
      <c r="AD30" s="97"/>
      <c r="AE30" s="97"/>
      <c r="AF30" s="80">
        <f t="shared" si="2"/>
        <v>0</v>
      </c>
      <c r="AG30" s="80"/>
      <c r="AH30" s="37"/>
    </row>
    <row r="31" spans="1:34" x14ac:dyDescent="0.25">
      <c r="A31" s="510"/>
      <c r="B31" s="508"/>
      <c r="C31" s="507"/>
      <c r="D31" s="502"/>
      <c r="E31" s="503"/>
      <c r="F31" s="504"/>
      <c r="G31" s="91"/>
      <c r="H31" s="92"/>
      <c r="I31" s="93"/>
      <c r="J31" s="93"/>
      <c r="K31" s="94"/>
      <c r="L31" s="95"/>
      <c r="M31" s="96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240"/>
      <c r="AD31" s="97"/>
      <c r="AE31" s="97"/>
      <c r="AF31" s="80">
        <f t="shared" si="2"/>
        <v>0</v>
      </c>
      <c r="AG31" s="80"/>
      <c r="AH31" s="37"/>
    </row>
    <row r="32" spans="1:34" x14ac:dyDescent="0.25">
      <c r="A32" s="165">
        <v>43008</v>
      </c>
      <c r="B32" s="143" t="s">
        <v>91</v>
      </c>
      <c r="C32" s="481"/>
      <c r="D32" s="145"/>
      <c r="E32" s="491"/>
      <c r="F32" s="372"/>
      <c r="G32" s="149">
        <f>SUM(G5:G31)</f>
        <v>65458.720000000001</v>
      </c>
      <c r="H32" s="157">
        <f>SUM(H5:H31)</f>
        <v>0</v>
      </c>
      <c r="I32" s="51">
        <f>SUM(I5:I31)</f>
        <v>0</v>
      </c>
      <c r="J32" s="51">
        <f>SUM(J5:J31)</f>
        <v>3867.5</v>
      </c>
      <c r="K32" s="160">
        <f>SUM(K5:K31)</f>
        <v>3083.83</v>
      </c>
      <c r="L32" s="149">
        <f>+'Apr - Jun 2024'!L39</f>
        <v>14828.86</v>
      </c>
      <c r="M32" s="52">
        <f>+'Apr - Jun 2024'!M39</f>
        <v>4817.79</v>
      </c>
      <c r="N32" s="52">
        <f>+'Apr - Jun 2024'!N39</f>
        <v>821.88000000000011</v>
      </c>
      <c r="O32" s="52">
        <f>+'Apr - Jun 2024'!O39</f>
        <v>5046.03</v>
      </c>
      <c r="P32" s="52">
        <f>+'Apr - Jun 2024'!P39</f>
        <v>330</v>
      </c>
      <c r="Q32" s="52">
        <f>+'Apr - Jun 2024'!Q39</f>
        <v>18</v>
      </c>
      <c r="R32" s="52">
        <f>+'Apr - Jun 2024'!R39</f>
        <v>320</v>
      </c>
      <c r="S32" s="52">
        <f>+'Apr - Jun 2024'!S39</f>
        <v>790.17</v>
      </c>
      <c r="T32" s="52">
        <f>+'Apr - Jun 2024'!T39</f>
        <v>470.49</v>
      </c>
      <c r="U32" s="52">
        <f>+'Apr - Jun 2024'!U39</f>
        <v>0</v>
      </c>
      <c r="V32" s="52">
        <f>+'Apr - Jun 2024'!V39</f>
        <v>0</v>
      </c>
      <c r="W32" s="52">
        <f>+'Apr - Jun 2024'!W39</f>
        <v>0</v>
      </c>
      <c r="X32" s="52">
        <f>+'Apr - Jun 2024'!X39</f>
        <v>0</v>
      </c>
      <c r="Y32" s="52">
        <f>+'Apr - Jun 2024'!Y39</f>
        <v>0</v>
      </c>
      <c r="Z32" s="52">
        <f>+'Apr - Jun 2024'!Z39</f>
        <v>900.45</v>
      </c>
      <c r="AA32" s="52">
        <f>+'Apr - Jun 2024'!AA39</f>
        <v>35.700000000000003</v>
      </c>
      <c r="AB32" s="52">
        <f>+'Apr - Jun 2024'!AB39</f>
        <v>0</v>
      </c>
      <c r="AC32" s="52">
        <f>+'Apr - Jun 2024'!AC39</f>
        <v>0</v>
      </c>
      <c r="AD32" s="150">
        <f>+'Apr - Jun 2024'!AD39</f>
        <v>1278.3499999999999</v>
      </c>
      <c r="AE32" s="329"/>
      <c r="AF32" s="80">
        <f t="shared" si="0"/>
        <v>0</v>
      </c>
      <c r="AH32" s="51">
        <f>SUM(AH7:AH31)</f>
        <v>3000</v>
      </c>
    </row>
    <row r="33" spans="1:34" ht="15.75" thickBot="1" x14ac:dyDescent="0.3">
      <c r="A33" s="168">
        <v>43008</v>
      </c>
      <c r="B33" s="169" t="s">
        <v>134</v>
      </c>
      <c r="C33" s="482"/>
      <c r="D33" s="171"/>
      <c r="E33" s="492"/>
      <c r="F33" s="373"/>
      <c r="G33" s="172">
        <f t="shared" ref="G33:AD33" si="4">SUM(G7:G31)</f>
        <v>90.5</v>
      </c>
      <c r="H33" s="151">
        <f t="shared" si="4"/>
        <v>0</v>
      </c>
      <c r="I33" s="152">
        <f t="shared" si="4"/>
        <v>0</v>
      </c>
      <c r="J33" s="152">
        <f t="shared" si="4"/>
        <v>2454.5</v>
      </c>
      <c r="K33" s="161">
        <f t="shared" si="4"/>
        <v>0</v>
      </c>
      <c r="L33" s="162">
        <f t="shared" si="4"/>
        <v>18188.02</v>
      </c>
      <c r="M33" s="163">
        <f t="shared" si="4"/>
        <v>4800.42</v>
      </c>
      <c r="N33" s="152">
        <f t="shared" si="4"/>
        <v>3570.57</v>
      </c>
      <c r="O33" s="152">
        <f t="shared" si="4"/>
        <v>3346.58</v>
      </c>
      <c r="P33" s="152">
        <f t="shared" si="4"/>
        <v>0</v>
      </c>
      <c r="Q33" s="152">
        <f t="shared" si="4"/>
        <v>18</v>
      </c>
      <c r="R33" s="152">
        <f t="shared" si="4"/>
        <v>315</v>
      </c>
      <c r="S33" s="152">
        <f t="shared" si="4"/>
        <v>0</v>
      </c>
      <c r="T33" s="152">
        <f t="shared" si="4"/>
        <v>0</v>
      </c>
      <c r="U33" s="152">
        <f t="shared" si="4"/>
        <v>235</v>
      </c>
      <c r="V33" s="152">
        <f t="shared" si="4"/>
        <v>0</v>
      </c>
      <c r="W33" s="152">
        <f t="shared" si="4"/>
        <v>3000</v>
      </c>
      <c r="X33" s="152">
        <f t="shared" si="4"/>
        <v>0</v>
      </c>
      <c r="Y33" s="152">
        <f t="shared" si="4"/>
        <v>0</v>
      </c>
      <c r="Z33" s="152">
        <f t="shared" si="4"/>
        <v>0</v>
      </c>
      <c r="AA33" s="152">
        <f t="shared" si="4"/>
        <v>92.1</v>
      </c>
      <c r="AB33" s="152">
        <f t="shared" si="4"/>
        <v>2000</v>
      </c>
      <c r="AC33" s="152">
        <f t="shared" si="4"/>
        <v>0</v>
      </c>
      <c r="AD33" s="164">
        <f t="shared" si="4"/>
        <v>810.34999999999991</v>
      </c>
      <c r="AE33" s="330"/>
      <c r="AF33" s="80">
        <f t="shared" si="0"/>
        <v>0</v>
      </c>
      <c r="AH33" s="155">
        <f>SUM(AH7:AH31)</f>
        <v>3000</v>
      </c>
    </row>
    <row r="34" spans="1:34" ht="15.75" thickBot="1" x14ac:dyDescent="0.3">
      <c r="A34" s="104">
        <v>43373</v>
      </c>
      <c r="B34" s="61" t="s">
        <v>93</v>
      </c>
      <c r="C34" s="483"/>
      <c r="D34" s="63"/>
      <c r="E34" s="493"/>
      <c r="F34" s="374" t="s">
        <v>94</v>
      </c>
      <c r="G34" s="66">
        <f>G32-G33</f>
        <v>65368.22</v>
      </c>
      <c r="H34" s="67">
        <f t="shared" ref="H34:K34" si="5">H32</f>
        <v>0</v>
      </c>
      <c r="I34" s="68">
        <f t="shared" si="5"/>
        <v>0</v>
      </c>
      <c r="J34" s="68">
        <f t="shared" si="5"/>
        <v>3867.5</v>
      </c>
      <c r="K34" s="61">
        <f t="shared" si="5"/>
        <v>3083.83</v>
      </c>
      <c r="L34" s="66">
        <f>+L32+L33</f>
        <v>33016.880000000005</v>
      </c>
      <c r="M34" s="66">
        <f>+M32+M33</f>
        <v>9618.2099999999991</v>
      </c>
      <c r="N34" s="68">
        <f>N32+N33</f>
        <v>4392.4500000000007</v>
      </c>
      <c r="O34" s="68">
        <f>O32+O33</f>
        <v>8392.61</v>
      </c>
      <c r="P34" s="68">
        <f t="shared" ref="P34:AD34" si="6">P32+P33</f>
        <v>330</v>
      </c>
      <c r="Q34" s="68">
        <f t="shared" si="6"/>
        <v>36</v>
      </c>
      <c r="R34" s="68">
        <f t="shared" si="6"/>
        <v>635</v>
      </c>
      <c r="S34" s="68">
        <f t="shared" si="6"/>
        <v>790.17</v>
      </c>
      <c r="T34" s="68">
        <f t="shared" si="6"/>
        <v>470.49</v>
      </c>
      <c r="U34" s="68">
        <f t="shared" si="6"/>
        <v>235</v>
      </c>
      <c r="V34" s="68">
        <f t="shared" si="6"/>
        <v>0</v>
      </c>
      <c r="W34" s="68">
        <f t="shared" si="6"/>
        <v>3000</v>
      </c>
      <c r="X34" s="68">
        <f t="shared" si="6"/>
        <v>0</v>
      </c>
      <c r="Y34" s="68">
        <f t="shared" si="6"/>
        <v>0</v>
      </c>
      <c r="Z34" s="68">
        <f t="shared" si="6"/>
        <v>900.45</v>
      </c>
      <c r="AA34" s="68">
        <f t="shared" si="6"/>
        <v>127.8</v>
      </c>
      <c r="AB34" s="68">
        <f t="shared" si="6"/>
        <v>2000</v>
      </c>
      <c r="AC34" s="68">
        <f t="shared" si="6"/>
        <v>0</v>
      </c>
      <c r="AD34" s="70">
        <f t="shared" si="6"/>
        <v>2088.6999999999998</v>
      </c>
      <c r="AE34" s="331"/>
      <c r="AF34" s="80">
        <f t="shared" si="0"/>
        <v>0</v>
      </c>
      <c r="AH34" s="68">
        <f>+AH33+AH5</f>
        <v>3742</v>
      </c>
    </row>
    <row r="35" spans="1:34" ht="15.75" thickTop="1" x14ac:dyDescent="0.25">
      <c r="A35" s="107"/>
      <c r="B35" s="108"/>
      <c r="C35" s="484"/>
      <c r="D35" s="109"/>
      <c r="E35" s="494"/>
      <c r="F35" s="375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H35" s="343"/>
    </row>
    <row r="36" spans="1:34" s="111" customFormat="1" x14ac:dyDescent="0.25">
      <c r="A36" s="487"/>
      <c r="C36" s="485"/>
      <c r="D36" s="112"/>
      <c r="E36" s="495"/>
      <c r="F36" s="376"/>
      <c r="G36" s="108" t="s">
        <v>135</v>
      </c>
      <c r="H36" s="258">
        <f>SUM(H34:K34)</f>
        <v>6951.33</v>
      </c>
      <c r="I36" s="114"/>
      <c r="J36" s="114"/>
      <c r="K36" s="114"/>
      <c r="L36" s="108" t="s">
        <v>96</v>
      </c>
      <c r="M36" s="326">
        <f>SUM(N34:AD34)</f>
        <v>23398.670000000002</v>
      </c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H36" s="76"/>
    </row>
    <row r="37" spans="1:34" x14ac:dyDescent="0.25">
      <c r="A37" s="107"/>
      <c r="B37" s="115"/>
      <c r="C37" s="486"/>
      <c r="D37" s="116"/>
      <c r="E37" s="496"/>
      <c r="F37" s="375"/>
      <c r="G37" s="108"/>
      <c r="L37" s="108"/>
      <c r="P37" s="222"/>
      <c r="Q37" s="222"/>
      <c r="AH37" s="76"/>
    </row>
    <row r="38" spans="1:34" x14ac:dyDescent="0.25">
      <c r="A38" s="107"/>
      <c r="B38" s="108" t="s">
        <v>97</v>
      </c>
      <c r="C38" s="486"/>
      <c r="D38" s="116"/>
      <c r="E38" s="496"/>
      <c r="F38" s="375"/>
      <c r="G38" s="258">
        <f>'Apr - Jun 2024'!G43</f>
        <v>60871.39</v>
      </c>
      <c r="I38" s="117" t="s">
        <v>136</v>
      </c>
      <c r="J38" s="118"/>
      <c r="K38" s="117"/>
      <c r="L38" s="263">
        <v>34855.839999999997</v>
      </c>
      <c r="AH38" s="76"/>
    </row>
    <row r="39" spans="1:34" x14ac:dyDescent="0.25">
      <c r="A39" s="107"/>
      <c r="B39" s="115" t="s">
        <v>137</v>
      </c>
      <c r="C39" s="486"/>
      <c r="D39" s="116"/>
      <c r="E39" s="496"/>
      <c r="F39" s="375"/>
      <c r="G39" s="259">
        <f>H36</f>
        <v>6951.33</v>
      </c>
      <c r="I39" s="119" t="s">
        <v>138</v>
      </c>
      <c r="J39" s="82"/>
      <c r="L39" s="264"/>
      <c r="AH39" s="76"/>
    </row>
    <row r="40" spans="1:34" x14ac:dyDescent="0.25">
      <c r="B40" s="115"/>
      <c r="C40" s="486"/>
      <c r="D40" s="116"/>
      <c r="E40" s="496"/>
      <c r="G40" s="260">
        <f>SUM(G38:G39)</f>
        <v>67822.720000000001</v>
      </c>
      <c r="I40" s="81"/>
      <c r="J40" s="82"/>
      <c r="L40" s="260">
        <f>SUM(L38:L39)</f>
        <v>34855.839999999997</v>
      </c>
      <c r="AH40" s="76"/>
    </row>
    <row r="41" spans="1:34" x14ac:dyDescent="0.25">
      <c r="B41" s="115" t="s">
        <v>139</v>
      </c>
      <c r="C41" s="486"/>
      <c r="D41" s="116"/>
      <c r="E41" s="496"/>
      <c r="G41" s="261">
        <f>+M36</f>
        <v>23398.670000000002</v>
      </c>
      <c r="I41" s="80" t="s">
        <v>102</v>
      </c>
      <c r="L41" s="328">
        <v>50</v>
      </c>
      <c r="M41" s="80" t="s">
        <v>140</v>
      </c>
      <c r="AH41" s="76"/>
    </row>
    <row r="42" spans="1:34" ht="15.75" thickBot="1" x14ac:dyDescent="0.3">
      <c r="B42" s="115"/>
      <c r="C42" s="486"/>
      <c r="D42" s="116"/>
      <c r="E42" s="496"/>
      <c r="G42" s="261">
        <f>+M34</f>
        <v>9618.2099999999991</v>
      </c>
      <c r="L42" s="262">
        <f>L40-L41</f>
        <v>34805.839999999997</v>
      </c>
      <c r="M42" s="120" t="s">
        <v>141</v>
      </c>
      <c r="AH42" s="23"/>
    </row>
    <row r="43" spans="1:34" ht="16.5" thickTop="1" thickBot="1" x14ac:dyDescent="0.3">
      <c r="B43" s="108" t="s">
        <v>142</v>
      </c>
      <c r="C43" s="486"/>
      <c r="D43" s="116"/>
      <c r="E43" s="496"/>
      <c r="G43" s="262">
        <f>G40-G41-G42</f>
        <v>34805.840000000004</v>
      </c>
      <c r="L43" s="261"/>
      <c r="AH43" s="23"/>
    </row>
    <row r="44" spans="1:34" ht="15.75" thickTop="1" x14ac:dyDescent="0.25">
      <c r="B44" s="115"/>
      <c r="C44" s="486"/>
      <c r="D44" s="116"/>
      <c r="E44" s="496"/>
      <c r="G44" s="261"/>
      <c r="J44" s="80" t="s">
        <v>143</v>
      </c>
      <c r="L44" s="260">
        <f>L42-G43</f>
        <v>0</v>
      </c>
      <c r="M44" s="80" t="s">
        <v>107</v>
      </c>
      <c r="AH44" s="23"/>
    </row>
    <row r="49" spans="2:7" x14ac:dyDescent="0.25">
      <c r="B49" s="2"/>
      <c r="C49" s="306"/>
      <c r="D49" s="3"/>
      <c r="E49" s="497"/>
      <c r="F49" s="377"/>
      <c r="G49" s="2"/>
    </row>
    <row r="50" spans="2:7" x14ac:dyDescent="0.25">
      <c r="B50" s="246"/>
      <c r="C50" s="316"/>
      <c r="D50" s="247"/>
      <c r="E50" s="498"/>
      <c r="F50" s="377"/>
      <c r="G50" s="2"/>
    </row>
    <row r="51" spans="2:7" x14ac:dyDescent="0.25">
      <c r="B51" s="5"/>
      <c r="C51" s="316"/>
      <c r="D51" s="247"/>
      <c r="E51" s="498"/>
      <c r="F51" s="377"/>
      <c r="G51" s="2"/>
    </row>
  </sheetData>
  <mergeCells count="1">
    <mergeCell ref="B1:C1"/>
  </mergeCells>
  <phoneticPr fontId="26" type="noConversion"/>
  <pageMargins left="0.70833333333333304" right="0.70833333333333304" top="0.74791666666666701" bottom="0.74791666666666701" header="0.51180555555555496" footer="0.51180555555555496"/>
  <pageSetup paperSize="9" scale="60" firstPageNumber="0" fitToWidth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V65"/>
  <sheetViews>
    <sheetView topLeftCell="C1" zoomScale="80" zoomScaleNormal="75" workbookViewId="0">
      <pane ySplit="4" topLeftCell="A5" activePane="bottomLeft" state="frozen"/>
      <selection activeCell="B1" sqref="B1"/>
      <selection pane="bottomLeft" activeCell="B52" sqref="B52"/>
    </sheetView>
  </sheetViews>
  <sheetFormatPr defaultRowHeight="15" x14ac:dyDescent="0.25"/>
  <cols>
    <col min="1" max="1" width="8.7109375" style="79" customWidth="1"/>
    <col min="2" max="2" width="41.5703125" style="80" bestFit="1" customWidth="1"/>
    <col min="3" max="3" width="17.7109375" style="81" customWidth="1"/>
    <col min="4" max="4" width="18.42578125" style="82" customWidth="1"/>
    <col min="5" max="5" width="11.5703125" style="226" customWidth="1"/>
    <col min="6" max="6" width="8.7109375" style="83" customWidth="1"/>
    <col min="7" max="7" width="13.85546875" style="80" customWidth="1"/>
    <col min="8" max="8" width="12.7109375" style="80" customWidth="1"/>
    <col min="9" max="9" width="9.5703125" style="80" customWidth="1"/>
    <col min="10" max="10" width="11.42578125" style="80" customWidth="1"/>
    <col min="11" max="11" width="9.28515625" style="80" customWidth="1"/>
    <col min="12" max="12" width="15.42578125" style="80" customWidth="1"/>
    <col min="13" max="13" width="12.28515625" style="80" customWidth="1"/>
    <col min="14" max="14" width="10.42578125" style="80" customWidth="1"/>
    <col min="15" max="15" width="10.140625" style="80" customWidth="1"/>
    <col min="16" max="16" width="16.42578125" style="80" customWidth="1"/>
    <col min="17" max="17" width="6.5703125" style="80" customWidth="1"/>
    <col min="18" max="18" width="8" style="80" customWidth="1"/>
    <col min="19" max="19" width="13.7109375" style="80" customWidth="1"/>
    <col min="20" max="20" width="19.140625" style="80" customWidth="1"/>
    <col min="21" max="30" width="9.85546875" style="80" customWidth="1"/>
    <col min="31" max="31" width="15.140625" style="83" bestFit="1" customWidth="1"/>
    <col min="32" max="32" width="8.42578125" style="83" bestFit="1" customWidth="1"/>
    <col min="33" max="33" width="9.140625" style="83" customWidth="1"/>
    <col min="34" max="34" width="9.7109375" style="83" bestFit="1" customWidth="1"/>
    <col min="35" max="1029" width="9.140625" style="83" customWidth="1"/>
  </cols>
  <sheetData>
    <row r="1" spans="1:34" x14ac:dyDescent="0.25">
      <c r="B1" s="487" t="s">
        <v>0</v>
      </c>
    </row>
    <row r="2" spans="1:34" x14ac:dyDescent="0.25">
      <c r="B2" s="487"/>
    </row>
    <row r="3" spans="1:34" ht="15.75" thickBot="1" x14ac:dyDescent="0.3">
      <c r="B3" s="487"/>
      <c r="G3" s="84" t="s">
        <v>1</v>
      </c>
      <c r="H3" s="85"/>
      <c r="I3" s="85"/>
      <c r="J3" s="85"/>
      <c r="K3" s="85"/>
      <c r="L3" s="86" t="s">
        <v>2</v>
      </c>
      <c r="M3" s="203"/>
      <c r="N3" s="204" t="s">
        <v>3</v>
      </c>
      <c r="O3" s="204"/>
      <c r="P3" s="205"/>
      <c r="Q3" s="204"/>
      <c r="R3" s="206"/>
      <c r="S3" s="207"/>
      <c r="T3" s="207"/>
      <c r="U3" s="207"/>
      <c r="V3" s="207"/>
      <c r="W3" s="207" t="s">
        <v>4</v>
      </c>
      <c r="X3" s="207"/>
      <c r="Y3" s="208"/>
      <c r="Z3" s="209"/>
      <c r="AA3" s="210" t="s">
        <v>5</v>
      </c>
      <c r="AB3" s="210"/>
      <c r="AC3" s="211"/>
      <c r="AD3" s="87"/>
      <c r="AE3" s="87"/>
    </row>
    <row r="4" spans="1:34" ht="52.5" customHeight="1" thickTop="1" thickBot="1" x14ac:dyDescent="0.3">
      <c r="A4" s="10" t="s">
        <v>6</v>
      </c>
      <c r="B4" s="11" t="s">
        <v>144</v>
      </c>
      <c r="C4" s="12" t="s">
        <v>145</v>
      </c>
      <c r="D4" s="13" t="s">
        <v>146</v>
      </c>
      <c r="E4" s="225" t="s">
        <v>10</v>
      </c>
      <c r="F4" s="15" t="s">
        <v>11</v>
      </c>
      <c r="G4" s="16" t="s">
        <v>17</v>
      </c>
      <c r="H4" s="17" t="s">
        <v>13</v>
      </c>
      <c r="I4" s="18" t="s">
        <v>14</v>
      </c>
      <c r="J4" s="18" t="s">
        <v>15</v>
      </c>
      <c r="K4" s="19" t="s">
        <v>35</v>
      </c>
      <c r="L4" s="20" t="s">
        <v>17</v>
      </c>
      <c r="M4" s="201" t="s">
        <v>18</v>
      </c>
      <c r="N4" s="202" t="s">
        <v>19</v>
      </c>
      <c r="O4" s="202" t="s">
        <v>20</v>
      </c>
      <c r="P4" s="212" t="s">
        <v>21</v>
      </c>
      <c r="Q4" s="212" t="s">
        <v>22</v>
      </c>
      <c r="R4" s="285" t="s">
        <v>23</v>
      </c>
      <c r="S4" s="202" t="s">
        <v>24</v>
      </c>
      <c r="T4" s="202" t="s">
        <v>25</v>
      </c>
      <c r="U4" s="202" t="s">
        <v>26</v>
      </c>
      <c r="V4" s="202" t="s">
        <v>27</v>
      </c>
      <c r="W4" s="202" t="s">
        <v>28</v>
      </c>
      <c r="X4" s="212" t="s">
        <v>29</v>
      </c>
      <c r="Y4" s="202" t="s">
        <v>30</v>
      </c>
      <c r="Z4" s="213" t="s">
        <v>31</v>
      </c>
      <c r="AA4" s="202" t="s">
        <v>32</v>
      </c>
      <c r="AB4" s="202" t="s">
        <v>33</v>
      </c>
      <c r="AC4" s="233" t="s">
        <v>34</v>
      </c>
      <c r="AD4" s="21" t="s">
        <v>35</v>
      </c>
      <c r="AE4" s="21" t="s">
        <v>36</v>
      </c>
      <c r="AH4" s="342" t="s">
        <v>34</v>
      </c>
    </row>
    <row r="5" spans="1:34" x14ac:dyDescent="0.25">
      <c r="A5" s="188">
        <v>44470</v>
      </c>
      <c r="B5" s="189" t="s">
        <v>110</v>
      </c>
      <c r="C5" s="190"/>
      <c r="D5" s="192"/>
      <c r="E5" s="227"/>
      <c r="F5" s="198"/>
      <c r="G5" s="529">
        <f>'July - Sept 2024'!$G$34</f>
        <v>65368.22</v>
      </c>
      <c r="H5" s="530">
        <f>'July - Sept 2024'!H34</f>
        <v>0</v>
      </c>
      <c r="I5" s="531">
        <f>'July - Sept 2024'!I34</f>
        <v>0</v>
      </c>
      <c r="J5" s="531">
        <f>'July - Sept 2024'!J34</f>
        <v>3867.5</v>
      </c>
      <c r="K5" s="532">
        <f>'July - Sept 2024'!K34</f>
        <v>3083.83</v>
      </c>
      <c r="L5" s="526">
        <f>'July - Sept 2024'!L34</f>
        <v>33016.880000000005</v>
      </c>
      <c r="M5" s="533">
        <f>'July - Sept 2024'!M34</f>
        <v>9618.2099999999991</v>
      </c>
      <c r="N5" s="534">
        <f>'July - Sept 2024'!N34</f>
        <v>4392.4500000000007</v>
      </c>
      <c r="O5" s="534">
        <f>'July - Sept 2024'!O34</f>
        <v>8392.61</v>
      </c>
      <c r="P5" s="534">
        <f>'July - Sept 2024'!P34</f>
        <v>330</v>
      </c>
      <c r="Q5" s="534">
        <f>+'July - Sept 2024'!Q34</f>
        <v>36</v>
      </c>
      <c r="R5" s="534">
        <f>'July - Sept 2024'!R34</f>
        <v>635</v>
      </c>
      <c r="S5" s="534">
        <f>'July - Sept 2024'!S34</f>
        <v>790.17</v>
      </c>
      <c r="T5" s="534">
        <f>'July - Sept 2024'!T34</f>
        <v>470.49</v>
      </c>
      <c r="U5" s="534">
        <f>'July - Sept 2024'!U34</f>
        <v>235</v>
      </c>
      <c r="V5" s="534">
        <f>'July - Sept 2024'!V34</f>
        <v>0</v>
      </c>
      <c r="W5" s="534">
        <f>'July - Sept 2024'!W34</f>
        <v>3000</v>
      </c>
      <c r="X5" s="534">
        <f>'July - Sept 2024'!X34</f>
        <v>0</v>
      </c>
      <c r="Y5" s="534">
        <f>'July - Sept 2024'!Y34</f>
        <v>0</v>
      </c>
      <c r="Z5" s="534">
        <f>'July - Sept 2024'!Z34</f>
        <v>900.45</v>
      </c>
      <c r="AA5" s="534">
        <f>'July - Sept 2024'!AA34</f>
        <v>127.8</v>
      </c>
      <c r="AB5" s="534">
        <f>'July - Sept 2024'!AB34</f>
        <v>2000</v>
      </c>
      <c r="AC5" s="534">
        <f>'July - Sept 2024'!AC34</f>
        <v>0</v>
      </c>
      <c r="AD5" s="216">
        <f>'July - Sept 2024'!AD34</f>
        <v>2088.6999999999998</v>
      </c>
      <c r="AE5" s="217"/>
      <c r="AF5" s="80"/>
      <c r="AH5" s="216">
        <f>+'July - Sept 2024'!AH34</f>
        <v>3742</v>
      </c>
    </row>
    <row r="6" spans="1:34" x14ac:dyDescent="0.25">
      <c r="A6" s="224">
        <v>45566</v>
      </c>
      <c r="B6" s="173" t="s">
        <v>147</v>
      </c>
      <c r="C6" s="480"/>
      <c r="D6" s="502" t="s">
        <v>28</v>
      </c>
      <c r="E6" s="503">
        <v>22780</v>
      </c>
      <c r="F6" s="504">
        <v>45566</v>
      </c>
      <c r="G6" s="535">
        <v>22780</v>
      </c>
      <c r="H6" s="536">
        <v>22780</v>
      </c>
      <c r="I6" s="513"/>
      <c r="J6" s="513"/>
      <c r="K6" s="537"/>
      <c r="L6" s="511"/>
      <c r="M6" s="538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40"/>
      <c r="AD6" s="100"/>
      <c r="AE6" s="100"/>
      <c r="AF6" s="80">
        <f>+L6-SUM(M6:AD6)</f>
        <v>0</v>
      </c>
      <c r="AH6" s="35"/>
    </row>
    <row r="7" spans="1:34" x14ac:dyDescent="0.25">
      <c r="A7" s="182">
        <v>45580</v>
      </c>
      <c r="B7" s="218" t="s">
        <v>38</v>
      </c>
      <c r="C7" s="479" t="s">
        <v>148</v>
      </c>
      <c r="D7" s="502">
        <v>460909805</v>
      </c>
      <c r="E7" s="503">
        <v>1130.21</v>
      </c>
      <c r="F7" s="504">
        <v>45600</v>
      </c>
      <c r="G7" s="535"/>
      <c r="H7" s="536"/>
      <c r="I7" s="513"/>
      <c r="J7" s="513"/>
      <c r="K7" s="537"/>
      <c r="L7" s="511">
        <v>1130.21</v>
      </c>
      <c r="M7" s="512">
        <v>1077.71</v>
      </c>
      <c r="N7" s="513">
        <v>52.5</v>
      </c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4"/>
      <c r="AD7" s="515"/>
      <c r="AE7" s="97"/>
      <c r="AF7" s="80">
        <f t="shared" ref="AF7:AF41" si="0">+L7-SUM(M7:AD7)</f>
        <v>0</v>
      </c>
      <c r="AH7" s="35"/>
    </row>
    <row r="8" spans="1:34" x14ac:dyDescent="0.25">
      <c r="A8" s="182">
        <v>45580</v>
      </c>
      <c r="B8" s="49" t="s">
        <v>40</v>
      </c>
      <c r="C8" s="479" t="s">
        <v>148</v>
      </c>
      <c r="D8" s="502">
        <v>858032240</v>
      </c>
      <c r="E8" s="503">
        <v>91.83</v>
      </c>
      <c r="F8" s="504">
        <v>45600</v>
      </c>
      <c r="G8" s="535"/>
      <c r="H8" s="536"/>
      <c r="I8" s="513"/>
      <c r="J8" s="513"/>
      <c r="K8" s="537"/>
      <c r="L8" s="511">
        <v>91.83</v>
      </c>
      <c r="M8" s="512">
        <v>91.83</v>
      </c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4"/>
      <c r="AD8" s="516"/>
      <c r="AE8" s="97"/>
      <c r="AF8" s="80">
        <f>+L8-SUM(M8:AE8)</f>
        <v>0</v>
      </c>
      <c r="AH8" s="35"/>
    </row>
    <row r="9" spans="1:34" x14ac:dyDescent="0.25">
      <c r="A9" s="182">
        <v>45580</v>
      </c>
      <c r="B9" s="49" t="s">
        <v>41</v>
      </c>
      <c r="C9" s="479" t="s">
        <v>148</v>
      </c>
      <c r="D9" s="502">
        <v>614387816</v>
      </c>
      <c r="E9" s="503">
        <v>430.6</v>
      </c>
      <c r="F9" s="504">
        <v>45600</v>
      </c>
      <c r="G9" s="535"/>
      <c r="H9" s="536"/>
      <c r="I9" s="513"/>
      <c r="J9" s="513"/>
      <c r="K9" s="537"/>
      <c r="L9" s="511">
        <v>430.6</v>
      </c>
      <c r="M9" s="512">
        <v>430.6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8"/>
      <c r="AD9" s="516"/>
      <c r="AE9" s="97"/>
      <c r="AF9" s="80">
        <f t="shared" ref="AF9:AF11" si="1">+L9-SUM(M9:AE9)</f>
        <v>0</v>
      </c>
      <c r="AH9" s="35"/>
    </row>
    <row r="10" spans="1:34" x14ac:dyDescent="0.25">
      <c r="A10" s="88">
        <v>45580</v>
      </c>
      <c r="B10" s="42" t="s">
        <v>42</v>
      </c>
      <c r="C10" s="480">
        <v>8419</v>
      </c>
      <c r="D10" s="502">
        <v>543864287</v>
      </c>
      <c r="E10" s="503">
        <v>570</v>
      </c>
      <c r="F10" s="504">
        <v>45600</v>
      </c>
      <c r="G10" s="541"/>
      <c r="H10" s="542"/>
      <c r="I10" s="517"/>
      <c r="J10" s="517"/>
      <c r="K10" s="543"/>
      <c r="L10" s="511">
        <v>570</v>
      </c>
      <c r="M10" s="512"/>
      <c r="N10" s="513"/>
      <c r="O10" s="513">
        <f>475</f>
        <v>475</v>
      </c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8"/>
      <c r="AD10" s="515">
        <v>95</v>
      </c>
      <c r="AE10" s="97" t="s">
        <v>44</v>
      </c>
      <c r="AF10" s="80">
        <f t="shared" si="1"/>
        <v>0</v>
      </c>
      <c r="AH10" s="35"/>
    </row>
    <row r="11" spans="1:34" x14ac:dyDescent="0.25">
      <c r="A11" s="88">
        <v>45580</v>
      </c>
      <c r="B11" s="42" t="s">
        <v>42</v>
      </c>
      <c r="C11" s="480">
        <v>8461</v>
      </c>
      <c r="D11" s="502">
        <v>543864287</v>
      </c>
      <c r="E11" s="503">
        <v>595.79999999999995</v>
      </c>
      <c r="F11" s="504">
        <v>45600</v>
      </c>
      <c r="G11" s="541"/>
      <c r="H11" s="542"/>
      <c r="I11" s="517"/>
      <c r="J11" s="517"/>
      <c r="K11" s="543"/>
      <c r="L11" s="511">
        <v>595.79999999999995</v>
      </c>
      <c r="M11" s="512"/>
      <c r="N11" s="513"/>
      <c r="O11" s="513">
        <f>496.5</f>
        <v>496.5</v>
      </c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8"/>
      <c r="AD11" s="515">
        <v>99.3</v>
      </c>
      <c r="AE11" s="97" t="s">
        <v>44</v>
      </c>
      <c r="AF11" s="80">
        <f t="shared" si="1"/>
        <v>0</v>
      </c>
      <c r="AH11" s="35"/>
    </row>
    <row r="12" spans="1:34" x14ac:dyDescent="0.25">
      <c r="A12" s="88">
        <v>45580</v>
      </c>
      <c r="B12" s="94" t="s">
        <v>149</v>
      </c>
      <c r="C12" s="480" t="s">
        <v>150</v>
      </c>
      <c r="D12" s="502">
        <v>300658</v>
      </c>
      <c r="E12" s="503">
        <v>60</v>
      </c>
      <c r="F12" s="504">
        <v>45600</v>
      </c>
      <c r="G12" s="541"/>
      <c r="H12" s="542"/>
      <c r="I12" s="517"/>
      <c r="J12" s="517"/>
      <c r="K12" s="543"/>
      <c r="L12" s="576">
        <v>60</v>
      </c>
      <c r="M12" s="512"/>
      <c r="N12" s="513"/>
      <c r="O12" s="513"/>
      <c r="P12" s="513"/>
      <c r="Q12" s="513"/>
      <c r="R12" s="513"/>
      <c r="S12" s="513"/>
      <c r="T12" s="513"/>
      <c r="U12" s="513"/>
      <c r="V12" s="513">
        <v>60</v>
      </c>
      <c r="W12" s="513"/>
      <c r="X12" s="513"/>
      <c r="Y12" s="513"/>
      <c r="Z12" s="513"/>
      <c r="AA12" s="513"/>
      <c r="AB12" s="513"/>
      <c r="AC12" s="518"/>
      <c r="AD12" s="516"/>
      <c r="AE12" s="97"/>
      <c r="AF12" s="80">
        <f t="shared" ref="AF12:AF19" si="2">+L12-SUM(M12:AD12)</f>
        <v>0</v>
      </c>
      <c r="AH12" s="132">
        <v>60</v>
      </c>
    </row>
    <row r="13" spans="1:34" x14ac:dyDescent="0.25">
      <c r="A13" s="88">
        <v>45596</v>
      </c>
      <c r="B13" s="94" t="s">
        <v>132</v>
      </c>
      <c r="C13" s="480" t="s">
        <v>22</v>
      </c>
      <c r="D13" s="502" t="s">
        <v>151</v>
      </c>
      <c r="E13" s="503">
        <v>6</v>
      </c>
      <c r="F13" s="504">
        <v>45596</v>
      </c>
      <c r="G13" s="541"/>
      <c r="H13" s="542"/>
      <c r="I13" s="517"/>
      <c r="J13" s="517"/>
      <c r="K13" s="543"/>
      <c r="L13" s="511">
        <v>5.4</v>
      </c>
      <c r="M13" s="512"/>
      <c r="N13" s="513"/>
      <c r="O13" s="513"/>
      <c r="P13" s="513"/>
      <c r="Q13" s="513">
        <v>5.4</v>
      </c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8"/>
      <c r="AD13" s="516"/>
      <c r="AE13" s="97"/>
      <c r="AF13" s="80">
        <f t="shared" si="2"/>
        <v>0</v>
      </c>
      <c r="AH13" s="132"/>
    </row>
    <row r="14" spans="1:34" x14ac:dyDescent="0.25">
      <c r="A14" s="88">
        <v>45615</v>
      </c>
      <c r="B14" s="218" t="s">
        <v>38</v>
      </c>
      <c r="C14" s="480" t="s">
        <v>152</v>
      </c>
      <c r="D14" s="502">
        <v>325428811</v>
      </c>
      <c r="E14" s="503">
        <v>1130.4100000000001</v>
      </c>
      <c r="F14" s="504">
        <v>45618</v>
      </c>
      <c r="G14" s="541"/>
      <c r="H14" s="542"/>
      <c r="I14" s="517"/>
      <c r="J14" s="517"/>
      <c r="K14" s="543"/>
      <c r="L14" s="519">
        <v>1130.4100000000001</v>
      </c>
      <c r="M14" s="520">
        <f>1130.41-52.5</f>
        <v>1077.9100000000001</v>
      </c>
      <c r="N14" s="517">
        <v>52.5</v>
      </c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8"/>
      <c r="AD14" s="516"/>
      <c r="AE14" s="97"/>
      <c r="AF14" s="80">
        <f t="shared" si="2"/>
        <v>0</v>
      </c>
      <c r="AH14" s="35"/>
    </row>
    <row r="15" spans="1:34" x14ac:dyDescent="0.25">
      <c r="A15" s="88">
        <v>45615</v>
      </c>
      <c r="B15" s="49" t="s">
        <v>40</v>
      </c>
      <c r="C15" s="480" t="s">
        <v>152</v>
      </c>
      <c r="D15" s="502">
        <v>509110467</v>
      </c>
      <c r="E15" s="503">
        <v>91.63</v>
      </c>
      <c r="F15" s="504">
        <v>45618</v>
      </c>
      <c r="G15" s="541"/>
      <c r="H15" s="542"/>
      <c r="I15" s="517"/>
      <c r="J15" s="517"/>
      <c r="K15" s="543"/>
      <c r="L15" s="519">
        <v>91.63</v>
      </c>
      <c r="M15" s="520">
        <v>91.63</v>
      </c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8"/>
      <c r="AD15" s="516"/>
      <c r="AE15" s="97"/>
      <c r="AF15" s="80">
        <f t="shared" si="2"/>
        <v>0</v>
      </c>
      <c r="AH15" s="35"/>
    </row>
    <row r="16" spans="1:34" x14ac:dyDescent="0.25">
      <c r="A16" s="88">
        <v>45615</v>
      </c>
      <c r="B16" s="49" t="s">
        <v>41</v>
      </c>
      <c r="C16" s="480" t="s">
        <v>152</v>
      </c>
      <c r="D16" s="502">
        <v>1955738</v>
      </c>
      <c r="E16" s="503">
        <v>430.6</v>
      </c>
      <c r="F16" s="504">
        <v>45618</v>
      </c>
      <c r="G16" s="541"/>
      <c r="H16" s="542"/>
      <c r="I16" s="517"/>
      <c r="J16" s="517"/>
      <c r="K16" s="543"/>
      <c r="L16" s="519">
        <v>430.6</v>
      </c>
      <c r="M16" s="520">
        <v>430.6</v>
      </c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8"/>
      <c r="AD16" s="130"/>
      <c r="AE16" s="97"/>
      <c r="AF16" s="80">
        <f t="shared" si="2"/>
        <v>0</v>
      </c>
      <c r="AH16" s="37"/>
    </row>
    <row r="17" spans="1:1029" x14ac:dyDescent="0.25">
      <c r="A17" s="88">
        <v>45615</v>
      </c>
      <c r="B17" s="42" t="s">
        <v>42</v>
      </c>
      <c r="C17" s="480">
        <v>8465</v>
      </c>
      <c r="D17" s="502">
        <v>54457714</v>
      </c>
      <c r="E17" s="503">
        <v>2847.82</v>
      </c>
      <c r="F17" s="504">
        <v>45618</v>
      </c>
      <c r="G17" s="541"/>
      <c r="H17" s="542"/>
      <c r="I17" s="517"/>
      <c r="J17" s="517"/>
      <c r="K17" s="543"/>
      <c r="L17" s="519">
        <v>1777.96</v>
      </c>
      <c r="M17" s="520"/>
      <c r="N17" s="517"/>
      <c r="O17" s="517">
        <f>1481.63</f>
        <v>1481.63</v>
      </c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8"/>
      <c r="AD17" s="130">
        <v>296.33</v>
      </c>
      <c r="AE17" s="97" t="s">
        <v>44</v>
      </c>
      <c r="AF17" s="80">
        <f t="shared" si="2"/>
        <v>0</v>
      </c>
      <c r="AH17" s="129"/>
    </row>
    <row r="18" spans="1:1029" x14ac:dyDescent="0.25">
      <c r="A18" s="88">
        <v>45615</v>
      </c>
      <c r="B18" s="42" t="s">
        <v>42</v>
      </c>
      <c r="C18" s="480">
        <v>8521</v>
      </c>
      <c r="D18" s="502">
        <v>54457714</v>
      </c>
      <c r="E18" s="503">
        <v>2847.82</v>
      </c>
      <c r="F18" s="504">
        <v>45618</v>
      </c>
      <c r="G18" s="541"/>
      <c r="H18" s="542"/>
      <c r="I18" s="517"/>
      <c r="J18" s="517"/>
      <c r="K18" s="543"/>
      <c r="L18" s="519">
        <v>1069.8599999999999</v>
      </c>
      <c r="M18" s="520"/>
      <c r="N18" s="517"/>
      <c r="O18" s="517">
        <f>891.55</f>
        <v>891.55</v>
      </c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8"/>
      <c r="AD18" s="130">
        <v>178.31</v>
      </c>
      <c r="AE18" s="97" t="s">
        <v>44</v>
      </c>
      <c r="AF18" s="80">
        <f t="shared" si="2"/>
        <v>0</v>
      </c>
      <c r="AH18" s="129"/>
    </row>
    <row r="19" spans="1:1029" s="223" customFormat="1" ht="18" customHeight="1" x14ac:dyDescent="0.25">
      <c r="A19" s="88">
        <v>45615</v>
      </c>
      <c r="B19" s="42" t="s">
        <v>42</v>
      </c>
      <c r="C19" s="480">
        <v>8551</v>
      </c>
      <c r="D19" s="502">
        <v>54457714</v>
      </c>
      <c r="E19" s="503">
        <v>2847.82</v>
      </c>
      <c r="F19" s="504">
        <v>45618</v>
      </c>
      <c r="G19" s="544"/>
      <c r="H19" s="542"/>
      <c r="I19" s="517"/>
      <c r="J19" s="517"/>
      <c r="K19" s="543"/>
      <c r="L19" s="519">
        <v>664.8</v>
      </c>
      <c r="M19" s="520"/>
      <c r="N19" s="517"/>
      <c r="O19" s="517">
        <f>554-97.5-35</f>
        <v>421.5</v>
      </c>
      <c r="P19" s="517">
        <v>35</v>
      </c>
      <c r="Q19" s="517"/>
      <c r="R19" s="517"/>
      <c r="S19" s="517"/>
      <c r="T19" s="517"/>
      <c r="U19" s="517"/>
      <c r="V19" s="517">
        <v>97.5</v>
      </c>
      <c r="W19" s="517"/>
      <c r="X19" s="517"/>
      <c r="Y19" s="517"/>
      <c r="Z19" s="517"/>
      <c r="AA19" s="517"/>
      <c r="AB19" s="517"/>
      <c r="AC19" s="518"/>
      <c r="AD19" s="130">
        <v>110.8</v>
      </c>
      <c r="AE19" s="97" t="s">
        <v>44</v>
      </c>
      <c r="AF19" s="80">
        <f t="shared" si="2"/>
        <v>0</v>
      </c>
      <c r="AG19" s="333"/>
      <c r="AH19" s="129">
        <v>97.5</v>
      </c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333"/>
      <c r="FL19" s="333"/>
      <c r="FM19" s="333"/>
      <c r="FN19" s="333"/>
      <c r="FO19" s="333"/>
      <c r="FP19" s="333"/>
      <c r="FQ19" s="333"/>
      <c r="FR19" s="333"/>
      <c r="FS19" s="333"/>
      <c r="FT19" s="333"/>
      <c r="FU19" s="333"/>
      <c r="FV19" s="333"/>
      <c r="FW19" s="333"/>
      <c r="FX19" s="333"/>
      <c r="FY19" s="333"/>
      <c r="FZ19" s="333"/>
      <c r="GA19" s="333"/>
      <c r="GB19" s="333"/>
      <c r="GC19" s="333"/>
      <c r="GD19" s="333"/>
      <c r="GE19" s="333"/>
      <c r="GF19" s="333"/>
      <c r="GG19" s="333"/>
      <c r="GH19" s="333"/>
      <c r="GI19" s="333"/>
      <c r="GJ19" s="333"/>
      <c r="GK19" s="333"/>
      <c r="GL19" s="333"/>
      <c r="GM19" s="333"/>
      <c r="GN19" s="333"/>
      <c r="GO19" s="333"/>
      <c r="GP19" s="333"/>
      <c r="GQ19" s="333"/>
      <c r="GR19" s="333"/>
      <c r="GS19" s="333"/>
      <c r="GT19" s="333"/>
      <c r="GU19" s="333"/>
      <c r="GV19" s="333"/>
      <c r="GW19" s="333"/>
      <c r="GX19" s="333"/>
      <c r="GY19" s="333"/>
      <c r="GZ19" s="333"/>
      <c r="HA19" s="333"/>
      <c r="HB19" s="333"/>
      <c r="HC19" s="333"/>
      <c r="HD19" s="333"/>
      <c r="HE19" s="333"/>
      <c r="HF19" s="333"/>
      <c r="HG19" s="333"/>
      <c r="HH19" s="333"/>
      <c r="HI19" s="333"/>
      <c r="HJ19" s="333"/>
      <c r="HK19" s="333"/>
      <c r="HL19" s="333"/>
      <c r="HM19" s="333"/>
      <c r="HN19" s="333"/>
      <c r="HO19" s="333"/>
      <c r="HP19" s="333"/>
      <c r="HQ19" s="333"/>
      <c r="HR19" s="333"/>
      <c r="HS19" s="333"/>
      <c r="HT19" s="333"/>
      <c r="HU19" s="333"/>
      <c r="HV19" s="333"/>
      <c r="HW19" s="333"/>
      <c r="HX19" s="333"/>
      <c r="HY19" s="333"/>
      <c r="HZ19" s="333"/>
      <c r="IA19" s="333"/>
      <c r="IB19" s="333"/>
      <c r="IC19" s="333"/>
      <c r="ID19" s="333"/>
      <c r="IE19" s="333"/>
      <c r="IF19" s="333"/>
      <c r="IG19" s="333"/>
      <c r="IH19" s="333"/>
      <c r="II19" s="333"/>
      <c r="IJ19" s="333"/>
      <c r="IK19" s="333"/>
      <c r="IL19" s="333"/>
      <c r="IM19" s="333"/>
      <c r="IN19" s="333"/>
      <c r="IO19" s="333"/>
      <c r="IP19" s="333"/>
      <c r="IQ19" s="333"/>
      <c r="IR19" s="333"/>
      <c r="IS19" s="333"/>
      <c r="IT19" s="333"/>
      <c r="IU19" s="333"/>
      <c r="IV19" s="333"/>
      <c r="IW19" s="333"/>
      <c r="IX19" s="333"/>
      <c r="IY19" s="333"/>
      <c r="IZ19" s="333"/>
      <c r="JA19" s="333"/>
      <c r="JB19" s="333"/>
      <c r="JC19" s="333"/>
      <c r="JD19" s="333"/>
      <c r="JE19" s="333"/>
      <c r="JF19" s="333"/>
      <c r="JG19" s="333"/>
      <c r="JH19" s="333"/>
      <c r="JI19" s="333"/>
      <c r="JJ19" s="333"/>
      <c r="JK19" s="333"/>
      <c r="JL19" s="333"/>
      <c r="JM19" s="333"/>
      <c r="JN19" s="333"/>
      <c r="JO19" s="333"/>
      <c r="JP19" s="333"/>
      <c r="JQ19" s="333"/>
      <c r="JR19" s="333"/>
      <c r="JS19" s="333"/>
      <c r="JT19" s="333"/>
      <c r="JU19" s="333"/>
      <c r="JV19" s="333"/>
      <c r="JW19" s="333"/>
      <c r="JX19" s="333"/>
      <c r="JY19" s="333"/>
      <c r="JZ19" s="333"/>
      <c r="KA19" s="333"/>
      <c r="KB19" s="333"/>
      <c r="KC19" s="333"/>
      <c r="KD19" s="333"/>
      <c r="KE19" s="333"/>
      <c r="KF19" s="333"/>
      <c r="KG19" s="333"/>
      <c r="KH19" s="333"/>
      <c r="KI19" s="333"/>
      <c r="KJ19" s="333"/>
      <c r="KK19" s="333"/>
      <c r="KL19" s="333"/>
      <c r="KM19" s="333"/>
      <c r="KN19" s="333"/>
      <c r="KO19" s="333"/>
      <c r="KP19" s="333"/>
      <c r="KQ19" s="333"/>
      <c r="KR19" s="333"/>
      <c r="KS19" s="333"/>
      <c r="KT19" s="333"/>
      <c r="KU19" s="333"/>
      <c r="KV19" s="333"/>
      <c r="KW19" s="333"/>
      <c r="KX19" s="333"/>
      <c r="KY19" s="333"/>
      <c r="KZ19" s="333"/>
      <c r="LA19" s="333"/>
      <c r="LB19" s="333"/>
      <c r="LC19" s="333"/>
      <c r="LD19" s="333"/>
      <c r="LE19" s="333"/>
      <c r="LF19" s="333"/>
      <c r="LG19" s="333"/>
      <c r="LH19" s="333"/>
      <c r="LI19" s="333"/>
      <c r="LJ19" s="333"/>
      <c r="LK19" s="333"/>
      <c r="LL19" s="333"/>
      <c r="LM19" s="333"/>
      <c r="LN19" s="333"/>
      <c r="LO19" s="333"/>
      <c r="LP19" s="333"/>
      <c r="LQ19" s="333"/>
      <c r="LR19" s="333"/>
      <c r="LS19" s="333"/>
      <c r="LT19" s="333"/>
      <c r="LU19" s="333"/>
      <c r="LV19" s="333"/>
      <c r="LW19" s="333"/>
      <c r="LX19" s="333"/>
      <c r="LY19" s="333"/>
      <c r="LZ19" s="333"/>
      <c r="MA19" s="333"/>
      <c r="MB19" s="333"/>
      <c r="MC19" s="333"/>
      <c r="MD19" s="333"/>
      <c r="ME19" s="333"/>
      <c r="MF19" s="333"/>
      <c r="MG19" s="333"/>
      <c r="MH19" s="333"/>
      <c r="MI19" s="333"/>
      <c r="MJ19" s="333"/>
      <c r="MK19" s="333"/>
      <c r="ML19" s="333"/>
      <c r="MM19" s="333"/>
      <c r="MN19" s="333"/>
      <c r="MO19" s="333"/>
      <c r="MP19" s="333"/>
      <c r="MQ19" s="333"/>
      <c r="MR19" s="333"/>
      <c r="MS19" s="333"/>
      <c r="MT19" s="333"/>
      <c r="MU19" s="333"/>
      <c r="MV19" s="333"/>
      <c r="MW19" s="333"/>
      <c r="MX19" s="333"/>
      <c r="MY19" s="333"/>
      <c r="MZ19" s="333"/>
      <c r="NA19" s="333"/>
      <c r="NB19" s="333"/>
      <c r="NC19" s="333"/>
      <c r="ND19" s="333"/>
      <c r="NE19" s="333"/>
      <c r="NF19" s="333"/>
      <c r="NG19" s="333"/>
      <c r="NH19" s="333"/>
      <c r="NI19" s="333"/>
      <c r="NJ19" s="333"/>
      <c r="NK19" s="333"/>
      <c r="NL19" s="333"/>
      <c r="NM19" s="333"/>
      <c r="NN19" s="333"/>
      <c r="NO19" s="333"/>
      <c r="NP19" s="333"/>
      <c r="NQ19" s="333"/>
      <c r="NR19" s="333"/>
      <c r="NS19" s="333"/>
      <c r="NT19" s="333"/>
      <c r="NU19" s="333"/>
      <c r="NV19" s="333"/>
      <c r="NW19" s="333"/>
      <c r="NX19" s="333"/>
      <c r="NY19" s="333"/>
      <c r="NZ19" s="333"/>
      <c r="OA19" s="333"/>
      <c r="OB19" s="333"/>
      <c r="OC19" s="333"/>
      <c r="OD19" s="333"/>
      <c r="OE19" s="333"/>
      <c r="OF19" s="333"/>
      <c r="OG19" s="333"/>
      <c r="OH19" s="333"/>
      <c r="OI19" s="333"/>
      <c r="OJ19" s="333"/>
      <c r="OK19" s="333"/>
      <c r="OL19" s="333"/>
      <c r="OM19" s="333"/>
      <c r="ON19" s="333"/>
      <c r="OO19" s="333"/>
      <c r="OP19" s="333"/>
      <c r="OQ19" s="333"/>
      <c r="OR19" s="333"/>
      <c r="OS19" s="333"/>
      <c r="OT19" s="333"/>
      <c r="OU19" s="333"/>
      <c r="OV19" s="333"/>
      <c r="OW19" s="333"/>
      <c r="OX19" s="333"/>
      <c r="OY19" s="333"/>
      <c r="OZ19" s="333"/>
      <c r="PA19" s="333"/>
      <c r="PB19" s="333"/>
      <c r="PC19" s="333"/>
      <c r="PD19" s="333"/>
      <c r="PE19" s="333"/>
      <c r="PF19" s="333"/>
      <c r="PG19" s="333"/>
      <c r="PH19" s="333"/>
      <c r="PI19" s="333"/>
      <c r="PJ19" s="333"/>
      <c r="PK19" s="333"/>
      <c r="PL19" s="333"/>
      <c r="PM19" s="333"/>
      <c r="PN19" s="333"/>
      <c r="PO19" s="333"/>
      <c r="PP19" s="333"/>
      <c r="PQ19" s="333"/>
      <c r="PR19" s="333"/>
      <c r="PS19" s="333"/>
      <c r="PT19" s="333"/>
      <c r="PU19" s="333"/>
      <c r="PV19" s="333"/>
      <c r="PW19" s="333"/>
      <c r="PX19" s="333"/>
      <c r="PY19" s="333"/>
      <c r="PZ19" s="333"/>
      <c r="QA19" s="333"/>
      <c r="QB19" s="333"/>
      <c r="QC19" s="333"/>
      <c r="QD19" s="333"/>
      <c r="QE19" s="333"/>
      <c r="QF19" s="333"/>
      <c r="QG19" s="333"/>
      <c r="QH19" s="333"/>
      <c r="QI19" s="333"/>
      <c r="QJ19" s="333"/>
      <c r="QK19" s="333"/>
      <c r="QL19" s="333"/>
      <c r="QM19" s="333"/>
      <c r="QN19" s="333"/>
      <c r="QO19" s="333"/>
      <c r="QP19" s="333"/>
      <c r="QQ19" s="333"/>
      <c r="QR19" s="333"/>
      <c r="QS19" s="333"/>
      <c r="QT19" s="333"/>
      <c r="QU19" s="333"/>
      <c r="QV19" s="333"/>
      <c r="QW19" s="333"/>
      <c r="QX19" s="333"/>
      <c r="QY19" s="333"/>
      <c r="QZ19" s="333"/>
      <c r="RA19" s="333"/>
      <c r="RB19" s="333"/>
      <c r="RC19" s="333"/>
      <c r="RD19" s="333"/>
      <c r="RE19" s="333"/>
      <c r="RF19" s="333"/>
      <c r="RG19" s="333"/>
      <c r="RH19" s="333"/>
      <c r="RI19" s="333"/>
      <c r="RJ19" s="333"/>
      <c r="RK19" s="333"/>
      <c r="RL19" s="333"/>
      <c r="RM19" s="333"/>
      <c r="RN19" s="333"/>
      <c r="RO19" s="333"/>
      <c r="RP19" s="333"/>
      <c r="RQ19" s="333"/>
      <c r="RR19" s="333"/>
      <c r="RS19" s="333"/>
      <c r="RT19" s="333"/>
      <c r="RU19" s="333"/>
      <c r="RV19" s="333"/>
      <c r="RW19" s="333"/>
      <c r="RX19" s="333"/>
      <c r="RY19" s="333"/>
      <c r="RZ19" s="333"/>
      <c r="SA19" s="333"/>
      <c r="SB19" s="333"/>
      <c r="SC19" s="333"/>
      <c r="SD19" s="333"/>
      <c r="SE19" s="333"/>
      <c r="SF19" s="333"/>
      <c r="SG19" s="333"/>
      <c r="SH19" s="333"/>
      <c r="SI19" s="333"/>
      <c r="SJ19" s="333"/>
      <c r="SK19" s="333"/>
      <c r="SL19" s="333"/>
      <c r="SM19" s="333"/>
      <c r="SN19" s="333"/>
      <c r="SO19" s="333"/>
      <c r="SP19" s="333"/>
      <c r="SQ19" s="333"/>
      <c r="SR19" s="333"/>
      <c r="SS19" s="333"/>
      <c r="ST19" s="333"/>
      <c r="SU19" s="333"/>
      <c r="SV19" s="333"/>
      <c r="SW19" s="333"/>
      <c r="SX19" s="333"/>
      <c r="SY19" s="333"/>
      <c r="SZ19" s="333"/>
      <c r="TA19" s="333"/>
      <c r="TB19" s="333"/>
      <c r="TC19" s="333"/>
      <c r="TD19" s="333"/>
      <c r="TE19" s="333"/>
      <c r="TF19" s="333"/>
      <c r="TG19" s="333"/>
      <c r="TH19" s="333"/>
      <c r="TI19" s="333"/>
      <c r="TJ19" s="333"/>
      <c r="TK19" s="333"/>
      <c r="TL19" s="333"/>
      <c r="TM19" s="333"/>
      <c r="TN19" s="333"/>
      <c r="TO19" s="333"/>
      <c r="TP19" s="333"/>
      <c r="TQ19" s="333"/>
      <c r="TR19" s="333"/>
      <c r="TS19" s="333"/>
      <c r="TT19" s="333"/>
      <c r="TU19" s="333"/>
      <c r="TV19" s="333"/>
      <c r="TW19" s="333"/>
      <c r="TX19" s="333"/>
      <c r="TY19" s="333"/>
      <c r="TZ19" s="333"/>
      <c r="UA19" s="333"/>
      <c r="UB19" s="333"/>
      <c r="UC19" s="333"/>
      <c r="UD19" s="333"/>
      <c r="UE19" s="333"/>
      <c r="UF19" s="333"/>
      <c r="UG19" s="333"/>
      <c r="UH19" s="333"/>
      <c r="UI19" s="333"/>
      <c r="UJ19" s="333"/>
      <c r="UK19" s="333"/>
      <c r="UL19" s="333"/>
      <c r="UM19" s="333"/>
      <c r="UN19" s="333"/>
      <c r="UO19" s="333"/>
      <c r="UP19" s="333"/>
      <c r="UQ19" s="333"/>
      <c r="UR19" s="333"/>
      <c r="US19" s="333"/>
      <c r="UT19" s="333"/>
      <c r="UU19" s="333"/>
      <c r="UV19" s="333"/>
      <c r="UW19" s="333"/>
      <c r="UX19" s="333"/>
      <c r="UY19" s="333"/>
      <c r="UZ19" s="333"/>
      <c r="VA19" s="333"/>
      <c r="VB19" s="333"/>
      <c r="VC19" s="333"/>
      <c r="VD19" s="333"/>
      <c r="VE19" s="333"/>
      <c r="VF19" s="333"/>
      <c r="VG19" s="333"/>
      <c r="VH19" s="333"/>
      <c r="VI19" s="333"/>
      <c r="VJ19" s="333"/>
      <c r="VK19" s="333"/>
      <c r="VL19" s="333"/>
      <c r="VM19" s="333"/>
      <c r="VN19" s="333"/>
      <c r="VO19" s="333"/>
      <c r="VP19" s="333"/>
      <c r="VQ19" s="333"/>
      <c r="VR19" s="333"/>
      <c r="VS19" s="333"/>
      <c r="VT19" s="333"/>
      <c r="VU19" s="333"/>
      <c r="VV19" s="333"/>
      <c r="VW19" s="333"/>
      <c r="VX19" s="333"/>
      <c r="VY19" s="333"/>
      <c r="VZ19" s="333"/>
      <c r="WA19" s="333"/>
      <c r="WB19" s="333"/>
      <c r="WC19" s="333"/>
      <c r="WD19" s="333"/>
      <c r="WE19" s="333"/>
      <c r="WF19" s="333"/>
      <c r="WG19" s="333"/>
      <c r="WH19" s="333"/>
      <c r="WI19" s="333"/>
      <c r="WJ19" s="333"/>
      <c r="WK19" s="333"/>
      <c r="WL19" s="333"/>
      <c r="WM19" s="333"/>
      <c r="WN19" s="333"/>
      <c r="WO19" s="333"/>
      <c r="WP19" s="333"/>
      <c r="WQ19" s="333"/>
      <c r="WR19" s="333"/>
      <c r="WS19" s="333"/>
      <c r="WT19" s="333"/>
      <c r="WU19" s="333"/>
      <c r="WV19" s="333"/>
      <c r="WW19" s="333"/>
      <c r="WX19" s="333"/>
      <c r="WY19" s="333"/>
      <c r="WZ19" s="333"/>
      <c r="XA19" s="333"/>
      <c r="XB19" s="333"/>
      <c r="XC19" s="333"/>
      <c r="XD19" s="333"/>
      <c r="XE19" s="333"/>
      <c r="XF19" s="333"/>
      <c r="XG19" s="333"/>
      <c r="XH19" s="333"/>
      <c r="XI19" s="333"/>
      <c r="XJ19" s="333"/>
      <c r="XK19" s="333"/>
      <c r="XL19" s="333"/>
      <c r="XM19" s="333"/>
      <c r="XN19" s="333"/>
      <c r="XO19" s="333"/>
      <c r="XP19" s="333"/>
      <c r="XQ19" s="333"/>
      <c r="XR19" s="333"/>
      <c r="XS19" s="333"/>
      <c r="XT19" s="333"/>
      <c r="XU19" s="333"/>
      <c r="XV19" s="333"/>
      <c r="XW19" s="333"/>
      <c r="XX19" s="333"/>
      <c r="XY19" s="333"/>
      <c r="XZ19" s="333"/>
      <c r="YA19" s="333"/>
      <c r="YB19" s="333"/>
      <c r="YC19" s="333"/>
      <c r="YD19" s="333"/>
      <c r="YE19" s="333"/>
      <c r="YF19" s="333"/>
      <c r="YG19" s="333"/>
      <c r="YH19" s="333"/>
      <c r="YI19" s="333"/>
      <c r="YJ19" s="333"/>
      <c r="YK19" s="333"/>
      <c r="YL19" s="333"/>
      <c r="YM19" s="333"/>
      <c r="YN19" s="333"/>
      <c r="YO19" s="333"/>
      <c r="YP19" s="333"/>
      <c r="YQ19" s="333"/>
      <c r="YR19" s="333"/>
      <c r="YS19" s="333"/>
      <c r="YT19" s="333"/>
      <c r="YU19" s="333"/>
      <c r="YV19" s="333"/>
      <c r="YW19" s="333"/>
      <c r="YX19" s="333"/>
      <c r="YY19" s="333"/>
      <c r="YZ19" s="333"/>
      <c r="ZA19" s="333"/>
      <c r="ZB19" s="333"/>
      <c r="ZC19" s="333"/>
      <c r="ZD19" s="333"/>
      <c r="ZE19" s="333"/>
      <c r="ZF19" s="333"/>
      <c r="ZG19" s="333"/>
      <c r="ZH19" s="333"/>
      <c r="ZI19" s="333"/>
      <c r="ZJ19" s="333"/>
      <c r="ZK19" s="333"/>
      <c r="ZL19" s="333"/>
      <c r="ZM19" s="333"/>
      <c r="ZN19" s="333"/>
      <c r="ZO19" s="333"/>
      <c r="ZP19" s="333"/>
      <c r="ZQ19" s="333"/>
      <c r="ZR19" s="333"/>
      <c r="ZS19" s="333"/>
      <c r="ZT19" s="333"/>
      <c r="ZU19" s="333"/>
      <c r="ZV19" s="333"/>
      <c r="ZW19" s="333"/>
      <c r="ZX19" s="333"/>
      <c r="ZY19" s="333"/>
      <c r="ZZ19" s="333"/>
      <c r="AAA19" s="333"/>
      <c r="AAB19" s="333"/>
      <c r="AAC19" s="333"/>
      <c r="AAD19" s="333"/>
      <c r="AAE19" s="333"/>
      <c r="AAF19" s="333"/>
      <c r="AAG19" s="333"/>
      <c r="AAH19" s="333"/>
      <c r="AAI19" s="333"/>
      <c r="AAJ19" s="333"/>
      <c r="AAK19" s="333"/>
      <c r="AAL19" s="333"/>
      <c r="AAM19" s="333"/>
      <c r="AAN19" s="333"/>
      <c r="AAO19" s="333"/>
      <c r="AAP19" s="333"/>
      <c r="AAQ19" s="333"/>
      <c r="AAR19" s="333"/>
      <c r="AAS19" s="333"/>
      <c r="AAT19" s="333"/>
      <c r="AAU19" s="333"/>
      <c r="AAV19" s="333"/>
      <c r="AAW19" s="333"/>
      <c r="AAX19" s="333"/>
      <c r="AAY19" s="333"/>
      <c r="AAZ19" s="333"/>
      <c r="ABA19" s="333"/>
      <c r="ABB19" s="333"/>
      <c r="ABC19" s="333"/>
      <c r="ABD19" s="333"/>
      <c r="ABE19" s="333"/>
      <c r="ABF19" s="333"/>
      <c r="ABG19" s="333"/>
      <c r="ABH19" s="333"/>
      <c r="ABI19" s="333"/>
      <c r="ABJ19" s="333"/>
      <c r="ABK19" s="333"/>
      <c r="ABL19" s="333"/>
      <c r="ABM19" s="333"/>
      <c r="ABN19" s="333"/>
      <c r="ABO19" s="333"/>
      <c r="ABP19" s="333"/>
      <c r="ABQ19" s="333"/>
      <c r="ABR19" s="333"/>
      <c r="ABS19" s="333"/>
      <c r="ABT19" s="333"/>
      <c r="ABU19" s="333"/>
      <c r="ABV19" s="333"/>
      <c r="ABW19" s="333"/>
      <c r="ABX19" s="333"/>
      <c r="ABY19" s="333"/>
      <c r="ABZ19" s="333"/>
      <c r="ACA19" s="333"/>
      <c r="ACB19" s="333"/>
      <c r="ACC19" s="333"/>
      <c r="ACD19" s="333"/>
      <c r="ACE19" s="333"/>
      <c r="ACF19" s="333"/>
      <c r="ACG19" s="333"/>
      <c r="ACH19" s="333"/>
      <c r="ACI19" s="333"/>
      <c r="ACJ19" s="333"/>
      <c r="ACK19" s="333"/>
      <c r="ACL19" s="333"/>
      <c r="ACM19" s="333"/>
      <c r="ACN19" s="333"/>
      <c r="ACO19" s="333"/>
      <c r="ACP19" s="333"/>
      <c r="ACQ19" s="333"/>
      <c r="ACR19" s="333"/>
      <c r="ACS19" s="333"/>
      <c r="ACT19" s="333"/>
      <c r="ACU19" s="333"/>
      <c r="ACV19" s="333"/>
      <c r="ACW19" s="333"/>
      <c r="ACX19" s="333"/>
      <c r="ACY19" s="333"/>
      <c r="ACZ19" s="333"/>
      <c r="ADA19" s="333"/>
      <c r="ADB19" s="333"/>
      <c r="ADC19" s="333"/>
      <c r="ADD19" s="333"/>
      <c r="ADE19" s="333"/>
      <c r="ADF19" s="333"/>
      <c r="ADG19" s="333"/>
      <c r="ADH19" s="333"/>
      <c r="ADI19" s="333"/>
      <c r="ADJ19" s="333"/>
      <c r="ADK19" s="333"/>
      <c r="ADL19" s="333"/>
      <c r="ADM19" s="333"/>
      <c r="ADN19" s="333"/>
      <c r="ADO19" s="333"/>
      <c r="ADP19" s="333"/>
      <c r="ADQ19" s="333"/>
      <c r="ADR19" s="333"/>
      <c r="ADS19" s="333"/>
      <c r="ADT19" s="333"/>
      <c r="ADU19" s="333"/>
      <c r="ADV19" s="333"/>
      <c r="ADW19" s="333"/>
      <c r="ADX19" s="333"/>
      <c r="ADY19" s="333"/>
      <c r="ADZ19" s="333"/>
      <c r="AEA19" s="333"/>
      <c r="AEB19" s="333"/>
      <c r="AEC19" s="333"/>
      <c r="AED19" s="333"/>
      <c r="AEE19" s="333"/>
      <c r="AEF19" s="333"/>
      <c r="AEG19" s="333"/>
      <c r="AEH19" s="333"/>
      <c r="AEI19" s="333"/>
      <c r="AEJ19" s="333"/>
      <c r="AEK19" s="333"/>
      <c r="AEL19" s="333"/>
      <c r="AEM19" s="333"/>
      <c r="AEN19" s="333"/>
      <c r="AEO19" s="333"/>
      <c r="AEP19" s="333"/>
      <c r="AEQ19" s="333"/>
      <c r="AER19" s="333"/>
      <c r="AES19" s="333"/>
      <c r="AET19" s="333"/>
      <c r="AEU19" s="333"/>
      <c r="AEV19" s="333"/>
      <c r="AEW19" s="333"/>
      <c r="AEX19" s="333"/>
      <c r="AEY19" s="333"/>
      <c r="AEZ19" s="333"/>
      <c r="AFA19" s="333"/>
      <c r="AFB19" s="333"/>
      <c r="AFC19" s="333"/>
      <c r="AFD19" s="333"/>
      <c r="AFE19" s="333"/>
      <c r="AFF19" s="333"/>
      <c r="AFG19" s="333"/>
      <c r="AFH19" s="333"/>
      <c r="AFI19" s="333"/>
      <c r="AFJ19" s="333"/>
      <c r="AFK19" s="333"/>
      <c r="AFL19" s="333"/>
      <c r="AFM19" s="333"/>
      <c r="AFN19" s="333"/>
      <c r="AFO19" s="333"/>
      <c r="AFP19" s="333"/>
      <c r="AFQ19" s="333"/>
      <c r="AFR19" s="333"/>
      <c r="AFS19" s="333"/>
      <c r="AFT19" s="333"/>
      <c r="AFU19" s="333"/>
      <c r="AFV19" s="333"/>
      <c r="AFW19" s="333"/>
      <c r="AFX19" s="333"/>
      <c r="AFY19" s="333"/>
      <c r="AFZ19" s="333"/>
      <c r="AGA19" s="333"/>
      <c r="AGB19" s="333"/>
      <c r="AGC19" s="333"/>
      <c r="AGD19" s="333"/>
      <c r="AGE19" s="333"/>
      <c r="AGF19" s="333"/>
      <c r="AGG19" s="333"/>
      <c r="AGH19" s="333"/>
      <c r="AGI19" s="333"/>
      <c r="AGJ19" s="333"/>
      <c r="AGK19" s="333"/>
      <c r="AGL19" s="333"/>
      <c r="AGM19" s="333"/>
      <c r="AGN19" s="333"/>
      <c r="AGO19" s="333"/>
      <c r="AGP19" s="333"/>
      <c r="AGQ19" s="333"/>
      <c r="AGR19" s="333"/>
      <c r="AGS19" s="333"/>
      <c r="AGT19" s="333"/>
      <c r="AGU19" s="333"/>
      <c r="AGV19" s="333"/>
      <c r="AGW19" s="333"/>
      <c r="AGX19" s="333"/>
      <c r="AGY19" s="333"/>
      <c r="AGZ19" s="333"/>
      <c r="AHA19" s="333"/>
      <c r="AHB19" s="333"/>
      <c r="AHC19" s="333"/>
      <c r="AHD19" s="333"/>
      <c r="AHE19" s="333"/>
      <c r="AHF19" s="333"/>
      <c r="AHG19" s="333"/>
      <c r="AHH19" s="333"/>
      <c r="AHI19" s="333"/>
      <c r="AHJ19" s="333"/>
      <c r="AHK19" s="333"/>
      <c r="AHL19" s="333"/>
      <c r="AHM19" s="333"/>
      <c r="AHN19" s="333"/>
      <c r="AHO19" s="333"/>
      <c r="AHP19" s="333"/>
      <c r="AHQ19" s="333"/>
      <c r="AHR19" s="333"/>
      <c r="AHS19" s="333"/>
      <c r="AHT19" s="333"/>
      <c r="AHU19" s="333"/>
      <c r="AHV19" s="333"/>
      <c r="AHW19" s="333"/>
      <c r="AHX19" s="333"/>
      <c r="AHY19" s="333"/>
      <c r="AHZ19" s="333"/>
      <c r="AIA19" s="333"/>
      <c r="AIB19" s="333"/>
      <c r="AIC19" s="333"/>
      <c r="AID19" s="333"/>
      <c r="AIE19" s="333"/>
      <c r="AIF19" s="333"/>
      <c r="AIG19" s="333"/>
      <c r="AIH19" s="333"/>
      <c r="AII19" s="333"/>
      <c r="AIJ19" s="333"/>
      <c r="AIK19" s="333"/>
      <c r="AIL19" s="333"/>
      <c r="AIM19" s="333"/>
      <c r="AIN19" s="333"/>
      <c r="AIO19" s="333"/>
      <c r="AIP19" s="333"/>
      <c r="AIQ19" s="333"/>
      <c r="AIR19" s="333"/>
      <c r="AIS19" s="333"/>
      <c r="AIT19" s="333"/>
      <c r="AIU19" s="333"/>
      <c r="AIV19" s="333"/>
      <c r="AIW19" s="333"/>
      <c r="AIX19" s="333"/>
      <c r="AIY19" s="333"/>
      <c r="AIZ19" s="333"/>
      <c r="AJA19" s="333"/>
      <c r="AJB19" s="333"/>
      <c r="AJC19" s="333"/>
      <c r="AJD19" s="333"/>
      <c r="AJE19" s="333"/>
      <c r="AJF19" s="333"/>
      <c r="AJG19" s="333"/>
      <c r="AJH19" s="333"/>
      <c r="AJI19" s="333"/>
      <c r="AJJ19" s="333"/>
      <c r="AJK19" s="333"/>
      <c r="AJL19" s="333"/>
      <c r="AJM19" s="333"/>
      <c r="AJN19" s="333"/>
      <c r="AJO19" s="333"/>
      <c r="AJP19" s="333"/>
      <c r="AJQ19" s="333"/>
      <c r="AJR19" s="333"/>
      <c r="AJS19" s="333"/>
      <c r="AJT19" s="333"/>
      <c r="AJU19" s="333"/>
      <c r="AJV19" s="333"/>
      <c r="AJW19" s="333"/>
      <c r="AJX19" s="333"/>
      <c r="AJY19" s="333"/>
      <c r="AJZ19" s="333"/>
      <c r="AKA19" s="333"/>
      <c r="AKB19" s="333"/>
      <c r="AKC19" s="333"/>
      <c r="AKD19" s="333"/>
      <c r="AKE19" s="333"/>
      <c r="AKF19" s="333"/>
      <c r="AKG19" s="333"/>
      <c r="AKH19" s="333"/>
      <c r="AKI19" s="333"/>
      <c r="AKJ19" s="333"/>
      <c r="AKK19" s="333"/>
      <c r="AKL19" s="333"/>
      <c r="AKM19" s="333"/>
      <c r="AKN19" s="333"/>
      <c r="AKO19" s="333"/>
      <c r="AKP19" s="333"/>
      <c r="AKQ19" s="333"/>
      <c r="AKR19" s="333"/>
      <c r="AKS19" s="333"/>
      <c r="AKT19" s="333"/>
      <c r="AKU19" s="333"/>
      <c r="AKV19" s="333"/>
      <c r="AKW19" s="333"/>
      <c r="AKX19" s="333"/>
      <c r="AKY19" s="333"/>
      <c r="AKZ19" s="333"/>
      <c r="ALA19" s="333"/>
      <c r="ALB19" s="333"/>
      <c r="ALC19" s="333"/>
      <c r="ALD19" s="333"/>
      <c r="ALE19" s="333"/>
      <c r="ALF19" s="333"/>
      <c r="ALG19" s="333"/>
      <c r="ALH19" s="333"/>
      <c r="ALI19" s="333"/>
      <c r="ALJ19" s="333"/>
      <c r="ALK19" s="333"/>
      <c r="ALL19" s="333"/>
      <c r="ALM19" s="333"/>
      <c r="ALN19" s="333"/>
      <c r="ALO19" s="333"/>
      <c r="ALP19" s="333"/>
      <c r="ALQ19" s="333"/>
      <c r="ALR19" s="333"/>
      <c r="ALS19" s="333"/>
      <c r="ALT19" s="333"/>
      <c r="ALU19" s="333"/>
      <c r="ALV19" s="333"/>
      <c r="ALW19" s="333"/>
      <c r="ALX19" s="333"/>
      <c r="ALY19" s="333"/>
      <c r="ALZ19" s="333"/>
      <c r="AMA19" s="333"/>
      <c r="AMB19" s="333"/>
      <c r="AMC19" s="333"/>
      <c r="AMD19" s="333"/>
      <c r="AME19" s="333"/>
      <c r="AMF19" s="333"/>
      <c r="AMG19" s="333"/>
      <c r="AMH19" s="333"/>
      <c r="AMI19" s="333"/>
      <c r="AMJ19" s="333"/>
      <c r="AMK19" s="333"/>
      <c r="AML19" s="333"/>
      <c r="AMM19" s="333"/>
      <c r="AMN19" s="333"/>
      <c r="AMO19" s="333"/>
    </row>
    <row r="20" spans="1:1029" x14ac:dyDescent="0.25">
      <c r="A20" s="88">
        <v>45615</v>
      </c>
      <c r="B20" s="94" t="s">
        <v>149</v>
      </c>
      <c r="C20" s="480" t="s">
        <v>153</v>
      </c>
      <c r="D20" s="502">
        <v>300659</v>
      </c>
      <c r="E20" s="503">
        <v>35</v>
      </c>
      <c r="F20" s="504">
        <v>45618</v>
      </c>
      <c r="G20" s="541"/>
      <c r="H20" s="542"/>
      <c r="I20" s="517"/>
      <c r="J20" s="517"/>
      <c r="K20" s="543"/>
      <c r="L20" s="577">
        <v>35</v>
      </c>
      <c r="M20" s="520"/>
      <c r="N20" s="517"/>
      <c r="O20" s="517"/>
      <c r="P20" s="517"/>
      <c r="Q20" s="517"/>
      <c r="R20" s="517"/>
      <c r="S20" s="517"/>
      <c r="T20" s="517"/>
      <c r="U20" s="517"/>
      <c r="V20" s="517">
        <v>35</v>
      </c>
      <c r="W20" s="517"/>
      <c r="X20" s="517"/>
      <c r="Y20" s="517"/>
      <c r="Z20" s="517"/>
      <c r="AA20" s="517"/>
      <c r="AB20" s="517"/>
      <c r="AC20" s="518"/>
      <c r="AD20" s="130"/>
      <c r="AE20" s="97"/>
      <c r="AF20" s="80">
        <f t="shared" ref="AF20:AF32" si="3">+L20-SUM(M20:AD20)</f>
        <v>0</v>
      </c>
      <c r="AH20" s="129">
        <v>35</v>
      </c>
    </row>
    <row r="21" spans="1:1029" x14ac:dyDescent="0.25">
      <c r="A21" s="88">
        <v>45618</v>
      </c>
      <c r="B21" s="94" t="s">
        <v>111</v>
      </c>
      <c r="C21" s="480" t="s">
        <v>154</v>
      </c>
      <c r="D21" s="502" t="s">
        <v>111</v>
      </c>
      <c r="E21" s="503">
        <v>810.35</v>
      </c>
      <c r="F21" s="504">
        <v>45618</v>
      </c>
      <c r="G21" s="541">
        <v>810.35</v>
      </c>
      <c r="H21" s="542"/>
      <c r="I21" s="517"/>
      <c r="J21" s="517"/>
      <c r="K21" s="543">
        <v>810.35</v>
      </c>
      <c r="L21" s="519"/>
      <c r="M21" s="520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8"/>
      <c r="AD21" s="130"/>
      <c r="AE21" s="97"/>
      <c r="AF21" s="80">
        <f t="shared" si="3"/>
        <v>0</v>
      </c>
      <c r="AH21" s="129"/>
    </row>
    <row r="22" spans="1:1029" x14ac:dyDescent="0.25">
      <c r="A22" s="88">
        <v>45626</v>
      </c>
      <c r="B22" s="94" t="s">
        <v>132</v>
      </c>
      <c r="C22" s="480" t="s">
        <v>22</v>
      </c>
      <c r="D22" s="502" t="s">
        <v>151</v>
      </c>
      <c r="E22" s="503">
        <v>6</v>
      </c>
      <c r="F22" s="504">
        <v>45626</v>
      </c>
      <c r="G22" s="541"/>
      <c r="H22" s="542"/>
      <c r="I22" s="517"/>
      <c r="J22" s="517"/>
      <c r="K22" s="543"/>
      <c r="L22" s="519">
        <v>6</v>
      </c>
      <c r="M22" s="520"/>
      <c r="N22" s="517"/>
      <c r="O22" s="517"/>
      <c r="P22" s="517"/>
      <c r="Q22" s="517">
        <v>6</v>
      </c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8"/>
      <c r="AD22" s="130"/>
      <c r="AE22" s="97"/>
      <c r="AF22" s="80">
        <f t="shared" si="3"/>
        <v>0</v>
      </c>
      <c r="AH22" s="129"/>
    </row>
    <row r="23" spans="1:1029" x14ac:dyDescent="0.25">
      <c r="A23" s="88">
        <v>45628</v>
      </c>
      <c r="B23" s="94" t="s">
        <v>129</v>
      </c>
      <c r="C23" s="480" t="s">
        <v>155</v>
      </c>
      <c r="D23" s="502" t="s">
        <v>129</v>
      </c>
      <c r="E23" s="503">
        <v>390</v>
      </c>
      <c r="F23" s="504">
        <v>45628</v>
      </c>
      <c r="G23" s="541">
        <v>390</v>
      </c>
      <c r="H23" s="542"/>
      <c r="I23" s="517"/>
      <c r="J23" s="517">
        <v>390</v>
      </c>
      <c r="K23" s="543"/>
      <c r="L23" s="519"/>
      <c r="M23" s="520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8"/>
      <c r="AD23" s="130"/>
      <c r="AE23" s="97"/>
      <c r="AF23" s="80">
        <f t="shared" si="3"/>
        <v>0</v>
      </c>
      <c r="AH23" s="129"/>
    </row>
    <row r="24" spans="1:1029" x14ac:dyDescent="0.25">
      <c r="A24" s="525">
        <v>45642</v>
      </c>
      <c r="B24" s="288" t="s">
        <v>156</v>
      </c>
      <c r="C24" s="480">
        <v>36808</v>
      </c>
      <c r="D24" s="502">
        <v>107965821</v>
      </c>
      <c r="E24" s="503">
        <v>3282</v>
      </c>
      <c r="F24" s="504">
        <v>45642</v>
      </c>
      <c r="G24" s="541"/>
      <c r="H24" s="542"/>
      <c r="I24" s="517"/>
      <c r="J24" s="517"/>
      <c r="K24" s="543"/>
      <c r="L24" s="519">
        <v>2148</v>
      </c>
      <c r="M24" s="520"/>
      <c r="N24" s="517"/>
      <c r="O24" s="517"/>
      <c r="P24" s="517">
        <v>1790</v>
      </c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18"/>
      <c r="AD24" s="130">
        <v>358</v>
      </c>
      <c r="AE24" s="97" t="s">
        <v>157</v>
      </c>
      <c r="AF24" s="80">
        <f t="shared" si="3"/>
        <v>0</v>
      </c>
      <c r="AH24" s="129"/>
    </row>
    <row r="25" spans="1:1029" x14ac:dyDescent="0.25">
      <c r="A25" s="525">
        <v>45642</v>
      </c>
      <c r="B25" s="288" t="s">
        <v>156</v>
      </c>
      <c r="C25" s="480">
        <v>36809</v>
      </c>
      <c r="D25" s="502">
        <v>107965821</v>
      </c>
      <c r="E25" s="503">
        <v>3282</v>
      </c>
      <c r="F25" s="504">
        <v>45642</v>
      </c>
      <c r="G25" s="541"/>
      <c r="H25" s="542"/>
      <c r="I25" s="517"/>
      <c r="J25" s="517"/>
      <c r="K25" s="543"/>
      <c r="L25" s="519">
        <v>1134</v>
      </c>
      <c r="M25" s="541"/>
      <c r="N25" s="520"/>
      <c r="O25" s="517"/>
      <c r="P25" s="517">
        <v>945</v>
      </c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8"/>
      <c r="AD25" s="130">
        <v>189</v>
      </c>
      <c r="AE25" s="97" t="s">
        <v>157</v>
      </c>
      <c r="AF25" s="80">
        <f t="shared" si="3"/>
        <v>0</v>
      </c>
      <c r="AH25" s="129"/>
    </row>
    <row r="26" spans="1:1029" s="223" customFormat="1" x14ac:dyDescent="0.25">
      <c r="A26" s="88">
        <v>45643</v>
      </c>
      <c r="B26" s="218" t="s">
        <v>38</v>
      </c>
      <c r="C26" s="480" t="s">
        <v>158</v>
      </c>
      <c r="D26" s="502">
        <v>804826003</v>
      </c>
      <c r="E26" s="503">
        <v>1397.42</v>
      </c>
      <c r="F26" s="504"/>
      <c r="G26" s="541"/>
      <c r="H26" s="542"/>
      <c r="I26" s="517"/>
      <c r="J26" s="517"/>
      <c r="K26" s="543"/>
      <c r="L26" s="519">
        <v>1397.42</v>
      </c>
      <c r="M26" s="541">
        <v>1344.92</v>
      </c>
      <c r="N26" s="520">
        <v>52.5</v>
      </c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8"/>
      <c r="AD26" s="130"/>
      <c r="AE26" s="97"/>
      <c r="AF26" s="80">
        <f t="shared" si="3"/>
        <v>0</v>
      </c>
      <c r="AG26" s="333"/>
      <c r="AH26" s="129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3"/>
      <c r="EC26" s="333"/>
      <c r="ED26" s="333"/>
      <c r="EE26" s="333"/>
      <c r="EF26" s="333"/>
      <c r="EG26" s="333"/>
      <c r="EH26" s="333"/>
      <c r="EI26" s="333"/>
      <c r="EJ26" s="333"/>
      <c r="EK26" s="333"/>
      <c r="EL26" s="333"/>
      <c r="EM26" s="333"/>
      <c r="EN26" s="333"/>
      <c r="EO26" s="333"/>
      <c r="EP26" s="333"/>
      <c r="EQ26" s="333"/>
      <c r="ER26" s="333"/>
      <c r="ES26" s="333"/>
      <c r="ET26" s="333"/>
      <c r="EU26" s="333"/>
      <c r="EV26" s="333"/>
      <c r="EW26" s="333"/>
      <c r="EX26" s="333"/>
      <c r="EY26" s="333"/>
      <c r="EZ26" s="333"/>
      <c r="FA26" s="333"/>
      <c r="FB26" s="333"/>
      <c r="FC26" s="333"/>
      <c r="FD26" s="333"/>
      <c r="FE26" s="333"/>
      <c r="FF26" s="333"/>
      <c r="FG26" s="333"/>
      <c r="FH26" s="333"/>
      <c r="FI26" s="333"/>
      <c r="FJ26" s="333"/>
      <c r="FK26" s="333"/>
      <c r="FL26" s="333"/>
      <c r="FM26" s="333"/>
      <c r="FN26" s="333"/>
      <c r="FO26" s="333"/>
      <c r="FP26" s="333"/>
      <c r="FQ26" s="333"/>
      <c r="FR26" s="333"/>
      <c r="FS26" s="333"/>
      <c r="FT26" s="333"/>
      <c r="FU26" s="333"/>
      <c r="FV26" s="333"/>
      <c r="FW26" s="333"/>
      <c r="FX26" s="333"/>
      <c r="FY26" s="333"/>
      <c r="FZ26" s="333"/>
      <c r="GA26" s="333"/>
      <c r="GB26" s="333"/>
      <c r="GC26" s="333"/>
      <c r="GD26" s="333"/>
      <c r="GE26" s="333"/>
      <c r="GF26" s="333"/>
      <c r="GG26" s="333"/>
      <c r="GH26" s="333"/>
      <c r="GI26" s="333"/>
      <c r="GJ26" s="333"/>
      <c r="GK26" s="333"/>
      <c r="GL26" s="333"/>
      <c r="GM26" s="333"/>
      <c r="GN26" s="333"/>
      <c r="GO26" s="333"/>
      <c r="GP26" s="333"/>
      <c r="GQ26" s="333"/>
      <c r="GR26" s="333"/>
      <c r="GS26" s="333"/>
      <c r="GT26" s="333"/>
      <c r="GU26" s="333"/>
      <c r="GV26" s="333"/>
      <c r="GW26" s="333"/>
      <c r="GX26" s="333"/>
      <c r="GY26" s="333"/>
      <c r="GZ26" s="333"/>
      <c r="HA26" s="333"/>
      <c r="HB26" s="333"/>
      <c r="HC26" s="333"/>
      <c r="HD26" s="333"/>
      <c r="HE26" s="333"/>
      <c r="HF26" s="333"/>
      <c r="HG26" s="333"/>
      <c r="HH26" s="333"/>
      <c r="HI26" s="333"/>
      <c r="HJ26" s="333"/>
      <c r="HK26" s="333"/>
      <c r="HL26" s="333"/>
      <c r="HM26" s="333"/>
      <c r="HN26" s="333"/>
      <c r="HO26" s="333"/>
      <c r="HP26" s="333"/>
      <c r="HQ26" s="333"/>
      <c r="HR26" s="333"/>
      <c r="HS26" s="333"/>
      <c r="HT26" s="333"/>
      <c r="HU26" s="333"/>
      <c r="HV26" s="333"/>
      <c r="HW26" s="333"/>
      <c r="HX26" s="333"/>
      <c r="HY26" s="333"/>
      <c r="HZ26" s="333"/>
      <c r="IA26" s="333"/>
      <c r="IB26" s="333"/>
      <c r="IC26" s="333"/>
      <c r="ID26" s="333"/>
      <c r="IE26" s="333"/>
      <c r="IF26" s="333"/>
      <c r="IG26" s="333"/>
      <c r="IH26" s="333"/>
      <c r="II26" s="333"/>
      <c r="IJ26" s="333"/>
      <c r="IK26" s="333"/>
      <c r="IL26" s="333"/>
      <c r="IM26" s="333"/>
      <c r="IN26" s="333"/>
      <c r="IO26" s="333"/>
      <c r="IP26" s="333"/>
      <c r="IQ26" s="333"/>
      <c r="IR26" s="333"/>
      <c r="IS26" s="333"/>
      <c r="IT26" s="333"/>
      <c r="IU26" s="333"/>
      <c r="IV26" s="333"/>
      <c r="IW26" s="333"/>
      <c r="IX26" s="333"/>
      <c r="IY26" s="333"/>
      <c r="IZ26" s="333"/>
      <c r="JA26" s="333"/>
      <c r="JB26" s="333"/>
      <c r="JC26" s="333"/>
      <c r="JD26" s="333"/>
      <c r="JE26" s="333"/>
      <c r="JF26" s="333"/>
      <c r="JG26" s="333"/>
      <c r="JH26" s="333"/>
      <c r="JI26" s="333"/>
      <c r="JJ26" s="333"/>
      <c r="JK26" s="333"/>
      <c r="JL26" s="333"/>
      <c r="JM26" s="333"/>
      <c r="JN26" s="333"/>
      <c r="JO26" s="333"/>
      <c r="JP26" s="333"/>
      <c r="JQ26" s="333"/>
      <c r="JR26" s="333"/>
      <c r="JS26" s="333"/>
      <c r="JT26" s="333"/>
      <c r="JU26" s="333"/>
      <c r="JV26" s="333"/>
      <c r="JW26" s="333"/>
      <c r="JX26" s="333"/>
      <c r="JY26" s="333"/>
      <c r="JZ26" s="333"/>
      <c r="KA26" s="333"/>
      <c r="KB26" s="333"/>
      <c r="KC26" s="333"/>
      <c r="KD26" s="333"/>
      <c r="KE26" s="333"/>
      <c r="KF26" s="333"/>
      <c r="KG26" s="333"/>
      <c r="KH26" s="333"/>
      <c r="KI26" s="333"/>
      <c r="KJ26" s="333"/>
      <c r="KK26" s="333"/>
      <c r="KL26" s="333"/>
      <c r="KM26" s="333"/>
      <c r="KN26" s="333"/>
      <c r="KO26" s="333"/>
      <c r="KP26" s="333"/>
      <c r="KQ26" s="333"/>
      <c r="KR26" s="333"/>
      <c r="KS26" s="333"/>
      <c r="KT26" s="333"/>
      <c r="KU26" s="333"/>
      <c r="KV26" s="333"/>
      <c r="KW26" s="333"/>
      <c r="KX26" s="333"/>
      <c r="KY26" s="333"/>
      <c r="KZ26" s="333"/>
      <c r="LA26" s="333"/>
      <c r="LB26" s="333"/>
      <c r="LC26" s="333"/>
      <c r="LD26" s="333"/>
      <c r="LE26" s="333"/>
      <c r="LF26" s="333"/>
      <c r="LG26" s="333"/>
      <c r="LH26" s="333"/>
      <c r="LI26" s="333"/>
      <c r="LJ26" s="333"/>
      <c r="LK26" s="333"/>
      <c r="LL26" s="333"/>
      <c r="LM26" s="333"/>
      <c r="LN26" s="333"/>
      <c r="LO26" s="333"/>
      <c r="LP26" s="333"/>
      <c r="LQ26" s="333"/>
      <c r="LR26" s="333"/>
      <c r="LS26" s="333"/>
      <c r="LT26" s="333"/>
      <c r="LU26" s="333"/>
      <c r="LV26" s="333"/>
      <c r="LW26" s="333"/>
      <c r="LX26" s="333"/>
      <c r="LY26" s="333"/>
      <c r="LZ26" s="333"/>
      <c r="MA26" s="333"/>
      <c r="MB26" s="333"/>
      <c r="MC26" s="333"/>
      <c r="MD26" s="333"/>
      <c r="ME26" s="333"/>
      <c r="MF26" s="333"/>
      <c r="MG26" s="333"/>
      <c r="MH26" s="333"/>
      <c r="MI26" s="333"/>
      <c r="MJ26" s="333"/>
      <c r="MK26" s="333"/>
      <c r="ML26" s="333"/>
      <c r="MM26" s="333"/>
      <c r="MN26" s="333"/>
      <c r="MO26" s="333"/>
      <c r="MP26" s="333"/>
      <c r="MQ26" s="333"/>
      <c r="MR26" s="333"/>
      <c r="MS26" s="333"/>
      <c r="MT26" s="333"/>
      <c r="MU26" s="333"/>
      <c r="MV26" s="333"/>
      <c r="MW26" s="333"/>
      <c r="MX26" s="333"/>
      <c r="MY26" s="333"/>
      <c r="MZ26" s="333"/>
      <c r="NA26" s="333"/>
      <c r="NB26" s="333"/>
      <c r="NC26" s="333"/>
      <c r="ND26" s="333"/>
      <c r="NE26" s="333"/>
      <c r="NF26" s="333"/>
      <c r="NG26" s="333"/>
      <c r="NH26" s="333"/>
      <c r="NI26" s="333"/>
      <c r="NJ26" s="333"/>
      <c r="NK26" s="333"/>
      <c r="NL26" s="333"/>
      <c r="NM26" s="333"/>
      <c r="NN26" s="333"/>
      <c r="NO26" s="333"/>
      <c r="NP26" s="333"/>
      <c r="NQ26" s="333"/>
      <c r="NR26" s="333"/>
      <c r="NS26" s="333"/>
      <c r="NT26" s="333"/>
      <c r="NU26" s="333"/>
      <c r="NV26" s="333"/>
      <c r="NW26" s="333"/>
      <c r="NX26" s="333"/>
      <c r="NY26" s="333"/>
      <c r="NZ26" s="333"/>
      <c r="OA26" s="333"/>
      <c r="OB26" s="333"/>
      <c r="OC26" s="333"/>
      <c r="OD26" s="333"/>
      <c r="OE26" s="333"/>
      <c r="OF26" s="333"/>
      <c r="OG26" s="333"/>
      <c r="OH26" s="333"/>
      <c r="OI26" s="333"/>
      <c r="OJ26" s="333"/>
      <c r="OK26" s="333"/>
      <c r="OL26" s="333"/>
      <c r="OM26" s="333"/>
      <c r="ON26" s="333"/>
      <c r="OO26" s="333"/>
      <c r="OP26" s="333"/>
      <c r="OQ26" s="333"/>
      <c r="OR26" s="333"/>
      <c r="OS26" s="333"/>
      <c r="OT26" s="333"/>
      <c r="OU26" s="333"/>
      <c r="OV26" s="333"/>
      <c r="OW26" s="333"/>
      <c r="OX26" s="333"/>
      <c r="OY26" s="333"/>
      <c r="OZ26" s="333"/>
      <c r="PA26" s="333"/>
      <c r="PB26" s="333"/>
      <c r="PC26" s="333"/>
      <c r="PD26" s="333"/>
      <c r="PE26" s="333"/>
      <c r="PF26" s="333"/>
      <c r="PG26" s="333"/>
      <c r="PH26" s="333"/>
      <c r="PI26" s="333"/>
      <c r="PJ26" s="333"/>
      <c r="PK26" s="333"/>
      <c r="PL26" s="333"/>
      <c r="PM26" s="333"/>
      <c r="PN26" s="333"/>
      <c r="PO26" s="333"/>
      <c r="PP26" s="333"/>
      <c r="PQ26" s="333"/>
      <c r="PR26" s="333"/>
      <c r="PS26" s="333"/>
      <c r="PT26" s="333"/>
      <c r="PU26" s="333"/>
      <c r="PV26" s="333"/>
      <c r="PW26" s="333"/>
      <c r="PX26" s="333"/>
      <c r="PY26" s="333"/>
      <c r="PZ26" s="333"/>
      <c r="QA26" s="333"/>
      <c r="QB26" s="333"/>
      <c r="QC26" s="333"/>
      <c r="QD26" s="333"/>
      <c r="QE26" s="333"/>
      <c r="QF26" s="333"/>
      <c r="QG26" s="333"/>
      <c r="QH26" s="333"/>
      <c r="QI26" s="333"/>
      <c r="QJ26" s="333"/>
      <c r="QK26" s="333"/>
      <c r="QL26" s="333"/>
      <c r="QM26" s="333"/>
      <c r="QN26" s="333"/>
      <c r="QO26" s="333"/>
      <c r="QP26" s="333"/>
      <c r="QQ26" s="333"/>
      <c r="QR26" s="333"/>
      <c r="QS26" s="333"/>
      <c r="QT26" s="333"/>
      <c r="QU26" s="333"/>
      <c r="QV26" s="333"/>
      <c r="QW26" s="333"/>
      <c r="QX26" s="333"/>
      <c r="QY26" s="333"/>
      <c r="QZ26" s="333"/>
      <c r="RA26" s="333"/>
      <c r="RB26" s="333"/>
      <c r="RC26" s="333"/>
      <c r="RD26" s="333"/>
      <c r="RE26" s="333"/>
      <c r="RF26" s="333"/>
      <c r="RG26" s="333"/>
      <c r="RH26" s="333"/>
      <c r="RI26" s="333"/>
      <c r="RJ26" s="333"/>
      <c r="RK26" s="333"/>
      <c r="RL26" s="333"/>
      <c r="RM26" s="333"/>
      <c r="RN26" s="333"/>
      <c r="RO26" s="333"/>
      <c r="RP26" s="333"/>
      <c r="RQ26" s="333"/>
      <c r="RR26" s="333"/>
      <c r="RS26" s="333"/>
      <c r="RT26" s="333"/>
      <c r="RU26" s="333"/>
      <c r="RV26" s="333"/>
      <c r="RW26" s="333"/>
      <c r="RX26" s="333"/>
      <c r="RY26" s="333"/>
      <c r="RZ26" s="333"/>
      <c r="SA26" s="333"/>
      <c r="SB26" s="333"/>
      <c r="SC26" s="333"/>
      <c r="SD26" s="333"/>
      <c r="SE26" s="333"/>
      <c r="SF26" s="333"/>
      <c r="SG26" s="333"/>
      <c r="SH26" s="333"/>
      <c r="SI26" s="333"/>
      <c r="SJ26" s="333"/>
      <c r="SK26" s="333"/>
      <c r="SL26" s="333"/>
      <c r="SM26" s="333"/>
      <c r="SN26" s="333"/>
      <c r="SO26" s="333"/>
      <c r="SP26" s="333"/>
      <c r="SQ26" s="333"/>
      <c r="SR26" s="333"/>
      <c r="SS26" s="333"/>
      <c r="ST26" s="333"/>
      <c r="SU26" s="333"/>
      <c r="SV26" s="333"/>
      <c r="SW26" s="333"/>
      <c r="SX26" s="333"/>
      <c r="SY26" s="333"/>
      <c r="SZ26" s="333"/>
      <c r="TA26" s="333"/>
      <c r="TB26" s="333"/>
      <c r="TC26" s="333"/>
      <c r="TD26" s="333"/>
      <c r="TE26" s="333"/>
      <c r="TF26" s="333"/>
      <c r="TG26" s="333"/>
      <c r="TH26" s="333"/>
      <c r="TI26" s="333"/>
      <c r="TJ26" s="333"/>
      <c r="TK26" s="333"/>
      <c r="TL26" s="333"/>
      <c r="TM26" s="333"/>
      <c r="TN26" s="333"/>
      <c r="TO26" s="333"/>
      <c r="TP26" s="333"/>
      <c r="TQ26" s="333"/>
      <c r="TR26" s="333"/>
      <c r="TS26" s="333"/>
      <c r="TT26" s="333"/>
      <c r="TU26" s="333"/>
      <c r="TV26" s="333"/>
      <c r="TW26" s="333"/>
      <c r="TX26" s="333"/>
      <c r="TY26" s="333"/>
      <c r="TZ26" s="333"/>
      <c r="UA26" s="333"/>
      <c r="UB26" s="333"/>
      <c r="UC26" s="333"/>
      <c r="UD26" s="333"/>
      <c r="UE26" s="333"/>
      <c r="UF26" s="333"/>
      <c r="UG26" s="333"/>
      <c r="UH26" s="333"/>
      <c r="UI26" s="333"/>
      <c r="UJ26" s="333"/>
      <c r="UK26" s="333"/>
      <c r="UL26" s="333"/>
      <c r="UM26" s="333"/>
      <c r="UN26" s="333"/>
      <c r="UO26" s="333"/>
      <c r="UP26" s="333"/>
      <c r="UQ26" s="333"/>
      <c r="UR26" s="333"/>
      <c r="US26" s="333"/>
      <c r="UT26" s="333"/>
      <c r="UU26" s="333"/>
      <c r="UV26" s="333"/>
      <c r="UW26" s="333"/>
      <c r="UX26" s="333"/>
      <c r="UY26" s="333"/>
      <c r="UZ26" s="333"/>
      <c r="VA26" s="333"/>
      <c r="VB26" s="333"/>
      <c r="VC26" s="333"/>
      <c r="VD26" s="333"/>
      <c r="VE26" s="333"/>
      <c r="VF26" s="333"/>
      <c r="VG26" s="333"/>
      <c r="VH26" s="333"/>
      <c r="VI26" s="333"/>
      <c r="VJ26" s="333"/>
      <c r="VK26" s="333"/>
      <c r="VL26" s="333"/>
      <c r="VM26" s="333"/>
      <c r="VN26" s="333"/>
      <c r="VO26" s="333"/>
      <c r="VP26" s="333"/>
      <c r="VQ26" s="333"/>
      <c r="VR26" s="333"/>
      <c r="VS26" s="333"/>
      <c r="VT26" s="333"/>
      <c r="VU26" s="333"/>
      <c r="VV26" s="333"/>
      <c r="VW26" s="333"/>
      <c r="VX26" s="333"/>
      <c r="VY26" s="333"/>
      <c r="VZ26" s="333"/>
      <c r="WA26" s="333"/>
      <c r="WB26" s="333"/>
      <c r="WC26" s="333"/>
      <c r="WD26" s="333"/>
      <c r="WE26" s="333"/>
      <c r="WF26" s="333"/>
      <c r="WG26" s="333"/>
      <c r="WH26" s="333"/>
      <c r="WI26" s="333"/>
      <c r="WJ26" s="333"/>
      <c r="WK26" s="333"/>
      <c r="WL26" s="333"/>
      <c r="WM26" s="333"/>
      <c r="WN26" s="333"/>
      <c r="WO26" s="333"/>
      <c r="WP26" s="333"/>
      <c r="WQ26" s="333"/>
      <c r="WR26" s="333"/>
      <c r="WS26" s="333"/>
      <c r="WT26" s="333"/>
      <c r="WU26" s="333"/>
      <c r="WV26" s="333"/>
      <c r="WW26" s="333"/>
      <c r="WX26" s="333"/>
      <c r="WY26" s="333"/>
      <c r="WZ26" s="333"/>
      <c r="XA26" s="333"/>
      <c r="XB26" s="333"/>
      <c r="XC26" s="333"/>
      <c r="XD26" s="333"/>
      <c r="XE26" s="333"/>
      <c r="XF26" s="333"/>
      <c r="XG26" s="333"/>
      <c r="XH26" s="333"/>
      <c r="XI26" s="333"/>
      <c r="XJ26" s="333"/>
      <c r="XK26" s="333"/>
      <c r="XL26" s="333"/>
      <c r="XM26" s="333"/>
      <c r="XN26" s="333"/>
      <c r="XO26" s="333"/>
      <c r="XP26" s="333"/>
      <c r="XQ26" s="333"/>
      <c r="XR26" s="333"/>
      <c r="XS26" s="333"/>
      <c r="XT26" s="333"/>
      <c r="XU26" s="333"/>
      <c r="XV26" s="333"/>
      <c r="XW26" s="333"/>
      <c r="XX26" s="333"/>
      <c r="XY26" s="333"/>
      <c r="XZ26" s="333"/>
      <c r="YA26" s="333"/>
      <c r="YB26" s="333"/>
      <c r="YC26" s="333"/>
      <c r="YD26" s="333"/>
      <c r="YE26" s="333"/>
      <c r="YF26" s="333"/>
      <c r="YG26" s="333"/>
      <c r="YH26" s="333"/>
      <c r="YI26" s="333"/>
      <c r="YJ26" s="333"/>
      <c r="YK26" s="333"/>
      <c r="YL26" s="333"/>
      <c r="YM26" s="333"/>
      <c r="YN26" s="333"/>
      <c r="YO26" s="333"/>
      <c r="YP26" s="333"/>
      <c r="YQ26" s="333"/>
      <c r="YR26" s="333"/>
      <c r="YS26" s="333"/>
      <c r="YT26" s="333"/>
      <c r="YU26" s="333"/>
      <c r="YV26" s="333"/>
      <c r="YW26" s="333"/>
      <c r="YX26" s="333"/>
      <c r="YY26" s="333"/>
      <c r="YZ26" s="333"/>
      <c r="ZA26" s="333"/>
      <c r="ZB26" s="333"/>
      <c r="ZC26" s="333"/>
      <c r="ZD26" s="333"/>
      <c r="ZE26" s="333"/>
      <c r="ZF26" s="333"/>
      <c r="ZG26" s="333"/>
      <c r="ZH26" s="333"/>
      <c r="ZI26" s="333"/>
      <c r="ZJ26" s="333"/>
      <c r="ZK26" s="333"/>
      <c r="ZL26" s="333"/>
      <c r="ZM26" s="333"/>
      <c r="ZN26" s="333"/>
      <c r="ZO26" s="333"/>
      <c r="ZP26" s="333"/>
      <c r="ZQ26" s="333"/>
      <c r="ZR26" s="333"/>
      <c r="ZS26" s="333"/>
      <c r="ZT26" s="333"/>
      <c r="ZU26" s="333"/>
      <c r="ZV26" s="333"/>
      <c r="ZW26" s="333"/>
      <c r="ZX26" s="333"/>
      <c r="ZY26" s="333"/>
      <c r="ZZ26" s="333"/>
      <c r="AAA26" s="333"/>
      <c r="AAB26" s="333"/>
      <c r="AAC26" s="333"/>
      <c r="AAD26" s="333"/>
      <c r="AAE26" s="333"/>
      <c r="AAF26" s="333"/>
      <c r="AAG26" s="333"/>
      <c r="AAH26" s="333"/>
      <c r="AAI26" s="333"/>
      <c r="AAJ26" s="333"/>
      <c r="AAK26" s="333"/>
      <c r="AAL26" s="333"/>
      <c r="AAM26" s="333"/>
      <c r="AAN26" s="333"/>
      <c r="AAO26" s="333"/>
      <c r="AAP26" s="333"/>
      <c r="AAQ26" s="333"/>
      <c r="AAR26" s="333"/>
      <c r="AAS26" s="333"/>
      <c r="AAT26" s="333"/>
      <c r="AAU26" s="333"/>
      <c r="AAV26" s="333"/>
      <c r="AAW26" s="333"/>
      <c r="AAX26" s="333"/>
      <c r="AAY26" s="333"/>
      <c r="AAZ26" s="333"/>
      <c r="ABA26" s="333"/>
      <c r="ABB26" s="333"/>
      <c r="ABC26" s="333"/>
      <c r="ABD26" s="333"/>
      <c r="ABE26" s="333"/>
      <c r="ABF26" s="333"/>
      <c r="ABG26" s="333"/>
      <c r="ABH26" s="333"/>
      <c r="ABI26" s="333"/>
      <c r="ABJ26" s="333"/>
      <c r="ABK26" s="333"/>
      <c r="ABL26" s="333"/>
      <c r="ABM26" s="333"/>
      <c r="ABN26" s="333"/>
      <c r="ABO26" s="333"/>
      <c r="ABP26" s="333"/>
      <c r="ABQ26" s="333"/>
      <c r="ABR26" s="333"/>
      <c r="ABS26" s="333"/>
      <c r="ABT26" s="333"/>
      <c r="ABU26" s="333"/>
      <c r="ABV26" s="333"/>
      <c r="ABW26" s="333"/>
      <c r="ABX26" s="333"/>
      <c r="ABY26" s="333"/>
      <c r="ABZ26" s="333"/>
      <c r="ACA26" s="333"/>
      <c r="ACB26" s="333"/>
      <c r="ACC26" s="333"/>
      <c r="ACD26" s="333"/>
      <c r="ACE26" s="333"/>
      <c r="ACF26" s="333"/>
      <c r="ACG26" s="333"/>
      <c r="ACH26" s="333"/>
      <c r="ACI26" s="333"/>
      <c r="ACJ26" s="333"/>
      <c r="ACK26" s="333"/>
      <c r="ACL26" s="333"/>
      <c r="ACM26" s="333"/>
      <c r="ACN26" s="333"/>
      <c r="ACO26" s="333"/>
      <c r="ACP26" s="333"/>
      <c r="ACQ26" s="333"/>
      <c r="ACR26" s="333"/>
      <c r="ACS26" s="333"/>
      <c r="ACT26" s="333"/>
      <c r="ACU26" s="333"/>
      <c r="ACV26" s="333"/>
      <c r="ACW26" s="333"/>
      <c r="ACX26" s="333"/>
      <c r="ACY26" s="333"/>
      <c r="ACZ26" s="333"/>
      <c r="ADA26" s="333"/>
      <c r="ADB26" s="333"/>
      <c r="ADC26" s="333"/>
      <c r="ADD26" s="333"/>
      <c r="ADE26" s="333"/>
      <c r="ADF26" s="333"/>
      <c r="ADG26" s="333"/>
      <c r="ADH26" s="333"/>
      <c r="ADI26" s="333"/>
      <c r="ADJ26" s="333"/>
      <c r="ADK26" s="333"/>
      <c r="ADL26" s="333"/>
      <c r="ADM26" s="333"/>
      <c r="ADN26" s="333"/>
      <c r="ADO26" s="333"/>
      <c r="ADP26" s="333"/>
      <c r="ADQ26" s="333"/>
      <c r="ADR26" s="333"/>
      <c r="ADS26" s="333"/>
      <c r="ADT26" s="333"/>
      <c r="ADU26" s="333"/>
      <c r="ADV26" s="333"/>
      <c r="ADW26" s="333"/>
      <c r="ADX26" s="333"/>
      <c r="ADY26" s="333"/>
      <c r="ADZ26" s="333"/>
      <c r="AEA26" s="333"/>
      <c r="AEB26" s="333"/>
      <c r="AEC26" s="333"/>
      <c r="AED26" s="333"/>
      <c r="AEE26" s="333"/>
      <c r="AEF26" s="333"/>
      <c r="AEG26" s="333"/>
      <c r="AEH26" s="333"/>
      <c r="AEI26" s="333"/>
      <c r="AEJ26" s="333"/>
      <c r="AEK26" s="333"/>
      <c r="AEL26" s="333"/>
      <c r="AEM26" s="333"/>
      <c r="AEN26" s="333"/>
      <c r="AEO26" s="333"/>
      <c r="AEP26" s="333"/>
      <c r="AEQ26" s="333"/>
      <c r="AER26" s="333"/>
      <c r="AES26" s="333"/>
      <c r="AET26" s="333"/>
      <c r="AEU26" s="333"/>
      <c r="AEV26" s="333"/>
      <c r="AEW26" s="333"/>
      <c r="AEX26" s="333"/>
      <c r="AEY26" s="333"/>
      <c r="AEZ26" s="333"/>
      <c r="AFA26" s="333"/>
      <c r="AFB26" s="333"/>
      <c r="AFC26" s="333"/>
      <c r="AFD26" s="333"/>
      <c r="AFE26" s="333"/>
      <c r="AFF26" s="333"/>
      <c r="AFG26" s="333"/>
      <c r="AFH26" s="333"/>
      <c r="AFI26" s="333"/>
      <c r="AFJ26" s="333"/>
      <c r="AFK26" s="333"/>
      <c r="AFL26" s="333"/>
      <c r="AFM26" s="333"/>
      <c r="AFN26" s="333"/>
      <c r="AFO26" s="333"/>
      <c r="AFP26" s="333"/>
      <c r="AFQ26" s="333"/>
      <c r="AFR26" s="333"/>
      <c r="AFS26" s="333"/>
      <c r="AFT26" s="333"/>
      <c r="AFU26" s="333"/>
      <c r="AFV26" s="333"/>
      <c r="AFW26" s="333"/>
      <c r="AFX26" s="333"/>
      <c r="AFY26" s="333"/>
      <c r="AFZ26" s="333"/>
      <c r="AGA26" s="333"/>
      <c r="AGB26" s="333"/>
      <c r="AGC26" s="333"/>
      <c r="AGD26" s="333"/>
      <c r="AGE26" s="333"/>
      <c r="AGF26" s="333"/>
      <c r="AGG26" s="333"/>
      <c r="AGH26" s="333"/>
      <c r="AGI26" s="333"/>
      <c r="AGJ26" s="333"/>
      <c r="AGK26" s="333"/>
      <c r="AGL26" s="333"/>
      <c r="AGM26" s="333"/>
      <c r="AGN26" s="333"/>
      <c r="AGO26" s="333"/>
      <c r="AGP26" s="333"/>
      <c r="AGQ26" s="333"/>
      <c r="AGR26" s="333"/>
      <c r="AGS26" s="333"/>
      <c r="AGT26" s="333"/>
      <c r="AGU26" s="333"/>
      <c r="AGV26" s="333"/>
      <c r="AGW26" s="333"/>
      <c r="AGX26" s="333"/>
      <c r="AGY26" s="333"/>
      <c r="AGZ26" s="333"/>
      <c r="AHA26" s="333"/>
      <c r="AHB26" s="333"/>
      <c r="AHC26" s="333"/>
      <c r="AHD26" s="333"/>
      <c r="AHE26" s="333"/>
      <c r="AHF26" s="333"/>
      <c r="AHG26" s="333"/>
      <c r="AHH26" s="333"/>
      <c r="AHI26" s="333"/>
      <c r="AHJ26" s="333"/>
      <c r="AHK26" s="333"/>
      <c r="AHL26" s="333"/>
      <c r="AHM26" s="333"/>
      <c r="AHN26" s="333"/>
      <c r="AHO26" s="333"/>
      <c r="AHP26" s="333"/>
      <c r="AHQ26" s="333"/>
      <c r="AHR26" s="333"/>
      <c r="AHS26" s="333"/>
      <c r="AHT26" s="333"/>
      <c r="AHU26" s="333"/>
      <c r="AHV26" s="333"/>
      <c r="AHW26" s="333"/>
      <c r="AHX26" s="333"/>
      <c r="AHY26" s="333"/>
      <c r="AHZ26" s="333"/>
      <c r="AIA26" s="333"/>
      <c r="AIB26" s="333"/>
      <c r="AIC26" s="333"/>
      <c r="AID26" s="333"/>
      <c r="AIE26" s="333"/>
      <c r="AIF26" s="333"/>
      <c r="AIG26" s="333"/>
      <c r="AIH26" s="333"/>
      <c r="AII26" s="333"/>
      <c r="AIJ26" s="333"/>
      <c r="AIK26" s="333"/>
      <c r="AIL26" s="333"/>
      <c r="AIM26" s="333"/>
      <c r="AIN26" s="333"/>
      <c r="AIO26" s="333"/>
      <c r="AIP26" s="333"/>
      <c r="AIQ26" s="333"/>
      <c r="AIR26" s="333"/>
      <c r="AIS26" s="333"/>
      <c r="AIT26" s="333"/>
      <c r="AIU26" s="333"/>
      <c r="AIV26" s="333"/>
      <c r="AIW26" s="333"/>
      <c r="AIX26" s="333"/>
      <c r="AIY26" s="333"/>
      <c r="AIZ26" s="333"/>
      <c r="AJA26" s="333"/>
      <c r="AJB26" s="333"/>
      <c r="AJC26" s="333"/>
      <c r="AJD26" s="333"/>
      <c r="AJE26" s="333"/>
      <c r="AJF26" s="333"/>
      <c r="AJG26" s="333"/>
      <c r="AJH26" s="333"/>
      <c r="AJI26" s="333"/>
      <c r="AJJ26" s="333"/>
      <c r="AJK26" s="333"/>
      <c r="AJL26" s="333"/>
      <c r="AJM26" s="333"/>
      <c r="AJN26" s="333"/>
      <c r="AJO26" s="333"/>
      <c r="AJP26" s="333"/>
      <c r="AJQ26" s="333"/>
      <c r="AJR26" s="333"/>
      <c r="AJS26" s="333"/>
      <c r="AJT26" s="333"/>
      <c r="AJU26" s="333"/>
      <c r="AJV26" s="333"/>
      <c r="AJW26" s="333"/>
      <c r="AJX26" s="333"/>
      <c r="AJY26" s="333"/>
      <c r="AJZ26" s="333"/>
      <c r="AKA26" s="333"/>
      <c r="AKB26" s="333"/>
      <c r="AKC26" s="333"/>
      <c r="AKD26" s="333"/>
      <c r="AKE26" s="333"/>
      <c r="AKF26" s="333"/>
      <c r="AKG26" s="333"/>
      <c r="AKH26" s="333"/>
      <c r="AKI26" s="333"/>
      <c r="AKJ26" s="333"/>
      <c r="AKK26" s="333"/>
      <c r="AKL26" s="333"/>
      <c r="AKM26" s="333"/>
      <c r="AKN26" s="333"/>
      <c r="AKO26" s="333"/>
      <c r="AKP26" s="333"/>
      <c r="AKQ26" s="333"/>
      <c r="AKR26" s="333"/>
      <c r="AKS26" s="333"/>
      <c r="AKT26" s="333"/>
      <c r="AKU26" s="333"/>
      <c r="AKV26" s="333"/>
      <c r="AKW26" s="333"/>
      <c r="AKX26" s="333"/>
      <c r="AKY26" s="333"/>
      <c r="AKZ26" s="333"/>
      <c r="ALA26" s="333"/>
      <c r="ALB26" s="333"/>
      <c r="ALC26" s="333"/>
      <c r="ALD26" s="333"/>
      <c r="ALE26" s="333"/>
      <c r="ALF26" s="333"/>
      <c r="ALG26" s="333"/>
      <c r="ALH26" s="333"/>
      <c r="ALI26" s="333"/>
      <c r="ALJ26" s="333"/>
      <c r="ALK26" s="333"/>
      <c r="ALL26" s="333"/>
      <c r="ALM26" s="333"/>
      <c r="ALN26" s="333"/>
      <c r="ALO26" s="333"/>
      <c r="ALP26" s="333"/>
      <c r="ALQ26" s="333"/>
      <c r="ALR26" s="333"/>
      <c r="ALS26" s="333"/>
      <c r="ALT26" s="333"/>
      <c r="ALU26" s="333"/>
      <c r="ALV26" s="333"/>
      <c r="ALW26" s="333"/>
      <c r="ALX26" s="333"/>
      <c r="ALY26" s="333"/>
      <c r="ALZ26" s="333"/>
      <c r="AMA26" s="333"/>
      <c r="AMB26" s="333"/>
      <c r="AMC26" s="333"/>
      <c r="AMD26" s="333"/>
      <c r="AME26" s="333"/>
      <c r="AMF26" s="333"/>
      <c r="AMG26" s="333"/>
      <c r="AMH26" s="333"/>
      <c r="AMI26" s="333"/>
      <c r="AMJ26" s="333"/>
      <c r="AMK26" s="333"/>
      <c r="AML26" s="333"/>
      <c r="AMM26" s="333"/>
      <c r="AMN26" s="333"/>
      <c r="AMO26" s="333"/>
    </row>
    <row r="27" spans="1:1029" s="223" customFormat="1" x14ac:dyDescent="0.25">
      <c r="A27" s="88">
        <v>45643</v>
      </c>
      <c r="B27" s="49" t="s">
        <v>40</v>
      </c>
      <c r="C27" s="480" t="s">
        <v>158</v>
      </c>
      <c r="D27" s="502">
        <v>575353466</v>
      </c>
      <c r="E27" s="503">
        <v>252.57</v>
      </c>
      <c r="F27" s="504"/>
      <c r="G27" s="541"/>
      <c r="H27" s="542"/>
      <c r="I27" s="517"/>
      <c r="J27" s="517"/>
      <c r="K27" s="543"/>
      <c r="L27" s="519">
        <v>252.57</v>
      </c>
      <c r="M27" s="520">
        <v>252.57</v>
      </c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8"/>
      <c r="AD27" s="130"/>
      <c r="AE27" s="97"/>
      <c r="AF27" s="80">
        <f t="shared" si="3"/>
        <v>0</v>
      </c>
      <c r="AG27" s="333"/>
      <c r="AH27" s="129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3"/>
      <c r="EK27" s="333"/>
      <c r="EL27" s="333"/>
      <c r="EM27" s="333"/>
      <c r="EN27" s="333"/>
      <c r="EO27" s="333"/>
      <c r="EP27" s="333"/>
      <c r="EQ27" s="333"/>
      <c r="ER27" s="333"/>
      <c r="ES27" s="333"/>
      <c r="ET27" s="333"/>
      <c r="EU27" s="333"/>
      <c r="EV27" s="333"/>
      <c r="EW27" s="333"/>
      <c r="EX27" s="333"/>
      <c r="EY27" s="333"/>
      <c r="EZ27" s="333"/>
      <c r="FA27" s="333"/>
      <c r="FB27" s="333"/>
      <c r="FC27" s="333"/>
      <c r="FD27" s="333"/>
      <c r="FE27" s="333"/>
      <c r="FF27" s="333"/>
      <c r="FG27" s="333"/>
      <c r="FH27" s="333"/>
      <c r="FI27" s="333"/>
      <c r="FJ27" s="333"/>
      <c r="FK27" s="333"/>
      <c r="FL27" s="333"/>
      <c r="FM27" s="333"/>
      <c r="FN27" s="333"/>
      <c r="FO27" s="333"/>
      <c r="FP27" s="333"/>
      <c r="FQ27" s="333"/>
      <c r="FR27" s="333"/>
      <c r="FS27" s="333"/>
      <c r="FT27" s="333"/>
      <c r="FU27" s="333"/>
      <c r="FV27" s="333"/>
      <c r="FW27" s="333"/>
      <c r="FX27" s="333"/>
      <c r="FY27" s="333"/>
      <c r="FZ27" s="333"/>
      <c r="GA27" s="333"/>
      <c r="GB27" s="333"/>
      <c r="GC27" s="333"/>
      <c r="GD27" s="333"/>
      <c r="GE27" s="333"/>
      <c r="GF27" s="333"/>
      <c r="GG27" s="333"/>
      <c r="GH27" s="333"/>
      <c r="GI27" s="333"/>
      <c r="GJ27" s="333"/>
      <c r="GK27" s="333"/>
      <c r="GL27" s="333"/>
      <c r="GM27" s="333"/>
      <c r="GN27" s="333"/>
      <c r="GO27" s="333"/>
      <c r="GP27" s="333"/>
      <c r="GQ27" s="333"/>
      <c r="GR27" s="333"/>
      <c r="GS27" s="333"/>
      <c r="GT27" s="333"/>
      <c r="GU27" s="333"/>
      <c r="GV27" s="333"/>
      <c r="GW27" s="333"/>
      <c r="GX27" s="333"/>
      <c r="GY27" s="333"/>
      <c r="GZ27" s="333"/>
      <c r="HA27" s="333"/>
      <c r="HB27" s="333"/>
      <c r="HC27" s="333"/>
      <c r="HD27" s="333"/>
      <c r="HE27" s="333"/>
      <c r="HF27" s="333"/>
      <c r="HG27" s="333"/>
      <c r="HH27" s="333"/>
      <c r="HI27" s="333"/>
      <c r="HJ27" s="333"/>
      <c r="HK27" s="333"/>
      <c r="HL27" s="333"/>
      <c r="HM27" s="333"/>
      <c r="HN27" s="333"/>
      <c r="HO27" s="333"/>
      <c r="HP27" s="333"/>
      <c r="HQ27" s="333"/>
      <c r="HR27" s="333"/>
      <c r="HS27" s="333"/>
      <c r="HT27" s="333"/>
      <c r="HU27" s="333"/>
      <c r="HV27" s="333"/>
      <c r="HW27" s="333"/>
      <c r="HX27" s="333"/>
      <c r="HY27" s="333"/>
      <c r="HZ27" s="333"/>
      <c r="IA27" s="333"/>
      <c r="IB27" s="333"/>
      <c r="IC27" s="333"/>
      <c r="ID27" s="333"/>
      <c r="IE27" s="333"/>
      <c r="IF27" s="333"/>
      <c r="IG27" s="333"/>
      <c r="IH27" s="333"/>
      <c r="II27" s="333"/>
      <c r="IJ27" s="333"/>
      <c r="IK27" s="333"/>
      <c r="IL27" s="333"/>
      <c r="IM27" s="333"/>
      <c r="IN27" s="333"/>
      <c r="IO27" s="333"/>
      <c r="IP27" s="333"/>
      <c r="IQ27" s="333"/>
      <c r="IR27" s="333"/>
      <c r="IS27" s="333"/>
      <c r="IT27" s="333"/>
      <c r="IU27" s="333"/>
      <c r="IV27" s="333"/>
      <c r="IW27" s="333"/>
      <c r="IX27" s="333"/>
      <c r="IY27" s="333"/>
      <c r="IZ27" s="333"/>
      <c r="JA27" s="333"/>
      <c r="JB27" s="333"/>
      <c r="JC27" s="333"/>
      <c r="JD27" s="333"/>
      <c r="JE27" s="333"/>
      <c r="JF27" s="333"/>
      <c r="JG27" s="333"/>
      <c r="JH27" s="333"/>
      <c r="JI27" s="333"/>
      <c r="JJ27" s="333"/>
      <c r="JK27" s="333"/>
      <c r="JL27" s="333"/>
      <c r="JM27" s="333"/>
      <c r="JN27" s="333"/>
      <c r="JO27" s="333"/>
      <c r="JP27" s="333"/>
      <c r="JQ27" s="333"/>
      <c r="JR27" s="333"/>
      <c r="JS27" s="333"/>
      <c r="JT27" s="333"/>
      <c r="JU27" s="333"/>
      <c r="JV27" s="333"/>
      <c r="JW27" s="333"/>
      <c r="JX27" s="333"/>
      <c r="JY27" s="333"/>
      <c r="JZ27" s="333"/>
      <c r="KA27" s="333"/>
      <c r="KB27" s="333"/>
      <c r="KC27" s="333"/>
      <c r="KD27" s="333"/>
      <c r="KE27" s="333"/>
      <c r="KF27" s="333"/>
      <c r="KG27" s="333"/>
      <c r="KH27" s="333"/>
      <c r="KI27" s="333"/>
      <c r="KJ27" s="333"/>
      <c r="KK27" s="333"/>
      <c r="KL27" s="333"/>
      <c r="KM27" s="333"/>
      <c r="KN27" s="333"/>
      <c r="KO27" s="333"/>
      <c r="KP27" s="333"/>
      <c r="KQ27" s="333"/>
      <c r="KR27" s="333"/>
      <c r="KS27" s="333"/>
      <c r="KT27" s="333"/>
      <c r="KU27" s="333"/>
      <c r="KV27" s="333"/>
      <c r="KW27" s="333"/>
      <c r="KX27" s="333"/>
      <c r="KY27" s="333"/>
      <c r="KZ27" s="333"/>
      <c r="LA27" s="333"/>
      <c r="LB27" s="333"/>
      <c r="LC27" s="333"/>
      <c r="LD27" s="333"/>
      <c r="LE27" s="333"/>
      <c r="LF27" s="333"/>
      <c r="LG27" s="333"/>
      <c r="LH27" s="333"/>
      <c r="LI27" s="333"/>
      <c r="LJ27" s="333"/>
      <c r="LK27" s="333"/>
      <c r="LL27" s="333"/>
      <c r="LM27" s="333"/>
      <c r="LN27" s="333"/>
      <c r="LO27" s="333"/>
      <c r="LP27" s="333"/>
      <c r="LQ27" s="333"/>
      <c r="LR27" s="333"/>
      <c r="LS27" s="333"/>
      <c r="LT27" s="333"/>
      <c r="LU27" s="333"/>
      <c r="LV27" s="333"/>
      <c r="LW27" s="333"/>
      <c r="LX27" s="333"/>
      <c r="LY27" s="333"/>
      <c r="LZ27" s="333"/>
      <c r="MA27" s="333"/>
      <c r="MB27" s="333"/>
      <c r="MC27" s="333"/>
      <c r="MD27" s="333"/>
      <c r="ME27" s="333"/>
      <c r="MF27" s="333"/>
      <c r="MG27" s="333"/>
      <c r="MH27" s="333"/>
      <c r="MI27" s="333"/>
      <c r="MJ27" s="333"/>
      <c r="MK27" s="333"/>
      <c r="ML27" s="333"/>
      <c r="MM27" s="333"/>
      <c r="MN27" s="333"/>
      <c r="MO27" s="333"/>
      <c r="MP27" s="333"/>
      <c r="MQ27" s="333"/>
      <c r="MR27" s="333"/>
      <c r="MS27" s="333"/>
      <c r="MT27" s="333"/>
      <c r="MU27" s="333"/>
      <c r="MV27" s="333"/>
      <c r="MW27" s="333"/>
      <c r="MX27" s="333"/>
      <c r="MY27" s="333"/>
      <c r="MZ27" s="333"/>
      <c r="NA27" s="333"/>
      <c r="NB27" s="333"/>
      <c r="NC27" s="333"/>
      <c r="ND27" s="333"/>
      <c r="NE27" s="333"/>
      <c r="NF27" s="333"/>
      <c r="NG27" s="333"/>
      <c r="NH27" s="333"/>
      <c r="NI27" s="333"/>
      <c r="NJ27" s="333"/>
      <c r="NK27" s="333"/>
      <c r="NL27" s="333"/>
      <c r="NM27" s="333"/>
      <c r="NN27" s="333"/>
      <c r="NO27" s="333"/>
      <c r="NP27" s="333"/>
      <c r="NQ27" s="333"/>
      <c r="NR27" s="333"/>
      <c r="NS27" s="333"/>
      <c r="NT27" s="333"/>
      <c r="NU27" s="333"/>
      <c r="NV27" s="333"/>
      <c r="NW27" s="333"/>
      <c r="NX27" s="333"/>
      <c r="NY27" s="333"/>
      <c r="NZ27" s="333"/>
      <c r="OA27" s="333"/>
      <c r="OB27" s="333"/>
      <c r="OC27" s="333"/>
      <c r="OD27" s="333"/>
      <c r="OE27" s="333"/>
      <c r="OF27" s="333"/>
      <c r="OG27" s="333"/>
      <c r="OH27" s="333"/>
      <c r="OI27" s="333"/>
      <c r="OJ27" s="333"/>
      <c r="OK27" s="333"/>
      <c r="OL27" s="333"/>
      <c r="OM27" s="333"/>
      <c r="ON27" s="333"/>
      <c r="OO27" s="333"/>
      <c r="OP27" s="333"/>
      <c r="OQ27" s="333"/>
      <c r="OR27" s="333"/>
      <c r="OS27" s="333"/>
      <c r="OT27" s="333"/>
      <c r="OU27" s="333"/>
      <c r="OV27" s="333"/>
      <c r="OW27" s="333"/>
      <c r="OX27" s="333"/>
      <c r="OY27" s="333"/>
      <c r="OZ27" s="333"/>
      <c r="PA27" s="333"/>
      <c r="PB27" s="333"/>
      <c r="PC27" s="333"/>
      <c r="PD27" s="333"/>
      <c r="PE27" s="333"/>
      <c r="PF27" s="333"/>
      <c r="PG27" s="333"/>
      <c r="PH27" s="333"/>
      <c r="PI27" s="333"/>
      <c r="PJ27" s="333"/>
      <c r="PK27" s="333"/>
      <c r="PL27" s="333"/>
      <c r="PM27" s="333"/>
      <c r="PN27" s="333"/>
      <c r="PO27" s="333"/>
      <c r="PP27" s="333"/>
      <c r="PQ27" s="333"/>
      <c r="PR27" s="333"/>
      <c r="PS27" s="333"/>
      <c r="PT27" s="333"/>
      <c r="PU27" s="333"/>
      <c r="PV27" s="333"/>
      <c r="PW27" s="333"/>
      <c r="PX27" s="333"/>
      <c r="PY27" s="333"/>
      <c r="PZ27" s="333"/>
      <c r="QA27" s="333"/>
      <c r="QB27" s="333"/>
      <c r="QC27" s="333"/>
      <c r="QD27" s="333"/>
      <c r="QE27" s="333"/>
      <c r="QF27" s="333"/>
      <c r="QG27" s="333"/>
      <c r="QH27" s="333"/>
      <c r="QI27" s="333"/>
      <c r="QJ27" s="333"/>
      <c r="QK27" s="333"/>
      <c r="QL27" s="333"/>
      <c r="QM27" s="333"/>
      <c r="QN27" s="333"/>
      <c r="QO27" s="333"/>
      <c r="QP27" s="333"/>
      <c r="QQ27" s="333"/>
      <c r="QR27" s="333"/>
      <c r="QS27" s="333"/>
      <c r="QT27" s="333"/>
      <c r="QU27" s="333"/>
      <c r="QV27" s="333"/>
      <c r="QW27" s="333"/>
      <c r="QX27" s="333"/>
      <c r="QY27" s="333"/>
      <c r="QZ27" s="333"/>
      <c r="RA27" s="333"/>
      <c r="RB27" s="333"/>
      <c r="RC27" s="333"/>
      <c r="RD27" s="333"/>
      <c r="RE27" s="333"/>
      <c r="RF27" s="333"/>
      <c r="RG27" s="333"/>
      <c r="RH27" s="333"/>
      <c r="RI27" s="333"/>
      <c r="RJ27" s="333"/>
      <c r="RK27" s="333"/>
      <c r="RL27" s="333"/>
      <c r="RM27" s="333"/>
      <c r="RN27" s="333"/>
      <c r="RO27" s="333"/>
      <c r="RP27" s="333"/>
      <c r="RQ27" s="333"/>
      <c r="RR27" s="333"/>
      <c r="RS27" s="333"/>
      <c r="RT27" s="333"/>
      <c r="RU27" s="333"/>
      <c r="RV27" s="333"/>
      <c r="RW27" s="333"/>
      <c r="RX27" s="333"/>
      <c r="RY27" s="333"/>
      <c r="RZ27" s="333"/>
      <c r="SA27" s="333"/>
      <c r="SB27" s="333"/>
      <c r="SC27" s="333"/>
      <c r="SD27" s="333"/>
      <c r="SE27" s="333"/>
      <c r="SF27" s="333"/>
      <c r="SG27" s="333"/>
      <c r="SH27" s="333"/>
      <c r="SI27" s="333"/>
      <c r="SJ27" s="333"/>
      <c r="SK27" s="333"/>
      <c r="SL27" s="333"/>
      <c r="SM27" s="333"/>
      <c r="SN27" s="333"/>
      <c r="SO27" s="333"/>
      <c r="SP27" s="333"/>
      <c r="SQ27" s="333"/>
      <c r="SR27" s="333"/>
      <c r="SS27" s="333"/>
      <c r="ST27" s="333"/>
      <c r="SU27" s="333"/>
      <c r="SV27" s="333"/>
      <c r="SW27" s="333"/>
      <c r="SX27" s="333"/>
      <c r="SY27" s="333"/>
      <c r="SZ27" s="333"/>
      <c r="TA27" s="333"/>
      <c r="TB27" s="333"/>
      <c r="TC27" s="333"/>
      <c r="TD27" s="333"/>
      <c r="TE27" s="333"/>
      <c r="TF27" s="333"/>
      <c r="TG27" s="333"/>
      <c r="TH27" s="333"/>
      <c r="TI27" s="333"/>
      <c r="TJ27" s="333"/>
      <c r="TK27" s="333"/>
      <c r="TL27" s="333"/>
      <c r="TM27" s="333"/>
      <c r="TN27" s="333"/>
      <c r="TO27" s="333"/>
      <c r="TP27" s="333"/>
      <c r="TQ27" s="333"/>
      <c r="TR27" s="333"/>
      <c r="TS27" s="333"/>
      <c r="TT27" s="333"/>
      <c r="TU27" s="333"/>
      <c r="TV27" s="333"/>
      <c r="TW27" s="333"/>
      <c r="TX27" s="333"/>
      <c r="TY27" s="333"/>
      <c r="TZ27" s="333"/>
      <c r="UA27" s="333"/>
      <c r="UB27" s="333"/>
      <c r="UC27" s="333"/>
      <c r="UD27" s="333"/>
      <c r="UE27" s="333"/>
      <c r="UF27" s="333"/>
      <c r="UG27" s="333"/>
      <c r="UH27" s="333"/>
      <c r="UI27" s="333"/>
      <c r="UJ27" s="333"/>
      <c r="UK27" s="333"/>
      <c r="UL27" s="333"/>
      <c r="UM27" s="333"/>
      <c r="UN27" s="333"/>
      <c r="UO27" s="333"/>
      <c r="UP27" s="333"/>
      <c r="UQ27" s="333"/>
      <c r="UR27" s="333"/>
      <c r="US27" s="333"/>
      <c r="UT27" s="333"/>
      <c r="UU27" s="333"/>
      <c r="UV27" s="333"/>
      <c r="UW27" s="333"/>
      <c r="UX27" s="333"/>
      <c r="UY27" s="333"/>
      <c r="UZ27" s="333"/>
      <c r="VA27" s="333"/>
      <c r="VB27" s="333"/>
      <c r="VC27" s="333"/>
      <c r="VD27" s="333"/>
      <c r="VE27" s="333"/>
      <c r="VF27" s="333"/>
      <c r="VG27" s="333"/>
      <c r="VH27" s="333"/>
      <c r="VI27" s="333"/>
      <c r="VJ27" s="333"/>
      <c r="VK27" s="333"/>
      <c r="VL27" s="333"/>
      <c r="VM27" s="333"/>
      <c r="VN27" s="333"/>
      <c r="VO27" s="333"/>
      <c r="VP27" s="333"/>
      <c r="VQ27" s="333"/>
      <c r="VR27" s="333"/>
      <c r="VS27" s="333"/>
      <c r="VT27" s="333"/>
      <c r="VU27" s="333"/>
      <c r="VV27" s="333"/>
      <c r="VW27" s="333"/>
      <c r="VX27" s="333"/>
      <c r="VY27" s="333"/>
      <c r="VZ27" s="333"/>
      <c r="WA27" s="333"/>
      <c r="WB27" s="333"/>
      <c r="WC27" s="333"/>
      <c r="WD27" s="333"/>
      <c r="WE27" s="333"/>
      <c r="WF27" s="333"/>
      <c r="WG27" s="333"/>
      <c r="WH27" s="333"/>
      <c r="WI27" s="333"/>
      <c r="WJ27" s="333"/>
      <c r="WK27" s="333"/>
      <c r="WL27" s="333"/>
      <c r="WM27" s="333"/>
      <c r="WN27" s="333"/>
      <c r="WO27" s="333"/>
      <c r="WP27" s="333"/>
      <c r="WQ27" s="333"/>
      <c r="WR27" s="333"/>
      <c r="WS27" s="333"/>
      <c r="WT27" s="333"/>
      <c r="WU27" s="333"/>
      <c r="WV27" s="333"/>
      <c r="WW27" s="333"/>
      <c r="WX27" s="333"/>
      <c r="WY27" s="333"/>
      <c r="WZ27" s="333"/>
      <c r="XA27" s="333"/>
      <c r="XB27" s="333"/>
      <c r="XC27" s="333"/>
      <c r="XD27" s="333"/>
      <c r="XE27" s="333"/>
      <c r="XF27" s="333"/>
      <c r="XG27" s="333"/>
      <c r="XH27" s="333"/>
      <c r="XI27" s="333"/>
      <c r="XJ27" s="333"/>
      <c r="XK27" s="333"/>
      <c r="XL27" s="333"/>
      <c r="XM27" s="333"/>
      <c r="XN27" s="333"/>
      <c r="XO27" s="333"/>
      <c r="XP27" s="333"/>
      <c r="XQ27" s="333"/>
      <c r="XR27" s="333"/>
      <c r="XS27" s="333"/>
      <c r="XT27" s="333"/>
      <c r="XU27" s="333"/>
      <c r="XV27" s="333"/>
      <c r="XW27" s="333"/>
      <c r="XX27" s="333"/>
      <c r="XY27" s="333"/>
      <c r="XZ27" s="333"/>
      <c r="YA27" s="333"/>
      <c r="YB27" s="333"/>
      <c r="YC27" s="333"/>
      <c r="YD27" s="333"/>
      <c r="YE27" s="333"/>
      <c r="YF27" s="333"/>
      <c r="YG27" s="333"/>
      <c r="YH27" s="333"/>
      <c r="YI27" s="333"/>
      <c r="YJ27" s="333"/>
      <c r="YK27" s="333"/>
      <c r="YL27" s="333"/>
      <c r="YM27" s="333"/>
      <c r="YN27" s="333"/>
      <c r="YO27" s="333"/>
      <c r="YP27" s="333"/>
      <c r="YQ27" s="333"/>
      <c r="YR27" s="333"/>
      <c r="YS27" s="333"/>
      <c r="YT27" s="333"/>
      <c r="YU27" s="333"/>
      <c r="YV27" s="333"/>
      <c r="YW27" s="333"/>
      <c r="YX27" s="333"/>
      <c r="YY27" s="333"/>
      <c r="YZ27" s="333"/>
      <c r="ZA27" s="333"/>
      <c r="ZB27" s="333"/>
      <c r="ZC27" s="333"/>
      <c r="ZD27" s="333"/>
      <c r="ZE27" s="333"/>
      <c r="ZF27" s="333"/>
      <c r="ZG27" s="333"/>
      <c r="ZH27" s="333"/>
      <c r="ZI27" s="333"/>
      <c r="ZJ27" s="333"/>
      <c r="ZK27" s="333"/>
      <c r="ZL27" s="333"/>
      <c r="ZM27" s="333"/>
      <c r="ZN27" s="333"/>
      <c r="ZO27" s="333"/>
      <c r="ZP27" s="333"/>
      <c r="ZQ27" s="333"/>
      <c r="ZR27" s="333"/>
      <c r="ZS27" s="333"/>
      <c r="ZT27" s="333"/>
      <c r="ZU27" s="333"/>
      <c r="ZV27" s="333"/>
      <c r="ZW27" s="333"/>
      <c r="ZX27" s="333"/>
      <c r="ZY27" s="333"/>
      <c r="ZZ27" s="333"/>
      <c r="AAA27" s="333"/>
      <c r="AAB27" s="333"/>
      <c r="AAC27" s="333"/>
      <c r="AAD27" s="333"/>
      <c r="AAE27" s="333"/>
      <c r="AAF27" s="333"/>
      <c r="AAG27" s="333"/>
      <c r="AAH27" s="333"/>
      <c r="AAI27" s="333"/>
      <c r="AAJ27" s="333"/>
      <c r="AAK27" s="333"/>
      <c r="AAL27" s="333"/>
      <c r="AAM27" s="333"/>
      <c r="AAN27" s="333"/>
      <c r="AAO27" s="333"/>
      <c r="AAP27" s="333"/>
      <c r="AAQ27" s="333"/>
      <c r="AAR27" s="333"/>
      <c r="AAS27" s="333"/>
      <c r="AAT27" s="333"/>
      <c r="AAU27" s="333"/>
      <c r="AAV27" s="333"/>
      <c r="AAW27" s="333"/>
      <c r="AAX27" s="333"/>
      <c r="AAY27" s="333"/>
      <c r="AAZ27" s="333"/>
      <c r="ABA27" s="333"/>
      <c r="ABB27" s="333"/>
      <c r="ABC27" s="333"/>
      <c r="ABD27" s="333"/>
      <c r="ABE27" s="333"/>
      <c r="ABF27" s="333"/>
      <c r="ABG27" s="333"/>
      <c r="ABH27" s="333"/>
      <c r="ABI27" s="333"/>
      <c r="ABJ27" s="333"/>
      <c r="ABK27" s="333"/>
      <c r="ABL27" s="333"/>
      <c r="ABM27" s="333"/>
      <c r="ABN27" s="333"/>
      <c r="ABO27" s="333"/>
      <c r="ABP27" s="333"/>
      <c r="ABQ27" s="333"/>
      <c r="ABR27" s="333"/>
      <c r="ABS27" s="333"/>
      <c r="ABT27" s="333"/>
      <c r="ABU27" s="333"/>
      <c r="ABV27" s="333"/>
      <c r="ABW27" s="333"/>
      <c r="ABX27" s="333"/>
      <c r="ABY27" s="333"/>
      <c r="ABZ27" s="333"/>
      <c r="ACA27" s="333"/>
      <c r="ACB27" s="333"/>
      <c r="ACC27" s="333"/>
      <c r="ACD27" s="333"/>
      <c r="ACE27" s="333"/>
      <c r="ACF27" s="333"/>
      <c r="ACG27" s="333"/>
      <c r="ACH27" s="333"/>
      <c r="ACI27" s="333"/>
      <c r="ACJ27" s="333"/>
      <c r="ACK27" s="333"/>
      <c r="ACL27" s="333"/>
      <c r="ACM27" s="333"/>
      <c r="ACN27" s="333"/>
      <c r="ACO27" s="333"/>
      <c r="ACP27" s="333"/>
      <c r="ACQ27" s="333"/>
      <c r="ACR27" s="333"/>
      <c r="ACS27" s="333"/>
      <c r="ACT27" s="333"/>
      <c r="ACU27" s="333"/>
      <c r="ACV27" s="333"/>
      <c r="ACW27" s="333"/>
      <c r="ACX27" s="333"/>
      <c r="ACY27" s="333"/>
      <c r="ACZ27" s="333"/>
      <c r="ADA27" s="333"/>
      <c r="ADB27" s="333"/>
      <c r="ADC27" s="333"/>
      <c r="ADD27" s="333"/>
      <c r="ADE27" s="333"/>
      <c r="ADF27" s="333"/>
      <c r="ADG27" s="333"/>
      <c r="ADH27" s="333"/>
      <c r="ADI27" s="333"/>
      <c r="ADJ27" s="333"/>
      <c r="ADK27" s="333"/>
      <c r="ADL27" s="333"/>
      <c r="ADM27" s="333"/>
      <c r="ADN27" s="333"/>
      <c r="ADO27" s="333"/>
      <c r="ADP27" s="333"/>
      <c r="ADQ27" s="333"/>
      <c r="ADR27" s="333"/>
      <c r="ADS27" s="333"/>
      <c r="ADT27" s="333"/>
      <c r="ADU27" s="333"/>
      <c r="ADV27" s="333"/>
      <c r="ADW27" s="333"/>
      <c r="ADX27" s="333"/>
      <c r="ADY27" s="333"/>
      <c r="ADZ27" s="333"/>
      <c r="AEA27" s="333"/>
      <c r="AEB27" s="333"/>
      <c r="AEC27" s="333"/>
      <c r="AED27" s="333"/>
      <c r="AEE27" s="333"/>
      <c r="AEF27" s="333"/>
      <c r="AEG27" s="333"/>
      <c r="AEH27" s="333"/>
      <c r="AEI27" s="333"/>
      <c r="AEJ27" s="333"/>
      <c r="AEK27" s="333"/>
      <c r="AEL27" s="333"/>
      <c r="AEM27" s="333"/>
      <c r="AEN27" s="333"/>
      <c r="AEO27" s="333"/>
      <c r="AEP27" s="333"/>
      <c r="AEQ27" s="333"/>
      <c r="AER27" s="333"/>
      <c r="AES27" s="333"/>
      <c r="AET27" s="333"/>
      <c r="AEU27" s="333"/>
      <c r="AEV27" s="333"/>
      <c r="AEW27" s="333"/>
      <c r="AEX27" s="333"/>
      <c r="AEY27" s="333"/>
      <c r="AEZ27" s="333"/>
      <c r="AFA27" s="333"/>
      <c r="AFB27" s="333"/>
      <c r="AFC27" s="333"/>
      <c r="AFD27" s="333"/>
      <c r="AFE27" s="333"/>
      <c r="AFF27" s="333"/>
      <c r="AFG27" s="333"/>
      <c r="AFH27" s="333"/>
      <c r="AFI27" s="333"/>
      <c r="AFJ27" s="333"/>
      <c r="AFK27" s="333"/>
      <c r="AFL27" s="333"/>
      <c r="AFM27" s="333"/>
      <c r="AFN27" s="333"/>
      <c r="AFO27" s="333"/>
      <c r="AFP27" s="333"/>
      <c r="AFQ27" s="333"/>
      <c r="AFR27" s="333"/>
      <c r="AFS27" s="333"/>
      <c r="AFT27" s="333"/>
      <c r="AFU27" s="333"/>
      <c r="AFV27" s="333"/>
      <c r="AFW27" s="333"/>
      <c r="AFX27" s="333"/>
      <c r="AFY27" s="333"/>
      <c r="AFZ27" s="333"/>
      <c r="AGA27" s="333"/>
      <c r="AGB27" s="333"/>
      <c r="AGC27" s="333"/>
      <c r="AGD27" s="333"/>
      <c r="AGE27" s="333"/>
      <c r="AGF27" s="333"/>
      <c r="AGG27" s="333"/>
      <c r="AGH27" s="333"/>
      <c r="AGI27" s="333"/>
      <c r="AGJ27" s="333"/>
      <c r="AGK27" s="333"/>
      <c r="AGL27" s="333"/>
      <c r="AGM27" s="333"/>
      <c r="AGN27" s="333"/>
      <c r="AGO27" s="333"/>
      <c r="AGP27" s="333"/>
      <c r="AGQ27" s="333"/>
      <c r="AGR27" s="333"/>
      <c r="AGS27" s="333"/>
      <c r="AGT27" s="333"/>
      <c r="AGU27" s="333"/>
      <c r="AGV27" s="333"/>
      <c r="AGW27" s="333"/>
      <c r="AGX27" s="333"/>
      <c r="AGY27" s="333"/>
      <c r="AGZ27" s="333"/>
      <c r="AHA27" s="333"/>
      <c r="AHB27" s="333"/>
      <c r="AHC27" s="333"/>
      <c r="AHD27" s="333"/>
      <c r="AHE27" s="333"/>
      <c r="AHF27" s="333"/>
      <c r="AHG27" s="333"/>
      <c r="AHH27" s="333"/>
      <c r="AHI27" s="333"/>
      <c r="AHJ27" s="333"/>
      <c r="AHK27" s="333"/>
      <c r="AHL27" s="333"/>
      <c r="AHM27" s="333"/>
      <c r="AHN27" s="333"/>
      <c r="AHO27" s="333"/>
      <c r="AHP27" s="333"/>
      <c r="AHQ27" s="333"/>
      <c r="AHR27" s="333"/>
      <c r="AHS27" s="333"/>
      <c r="AHT27" s="333"/>
      <c r="AHU27" s="333"/>
      <c r="AHV27" s="333"/>
      <c r="AHW27" s="333"/>
      <c r="AHX27" s="333"/>
      <c r="AHY27" s="333"/>
      <c r="AHZ27" s="333"/>
      <c r="AIA27" s="333"/>
      <c r="AIB27" s="333"/>
      <c r="AIC27" s="333"/>
      <c r="AID27" s="333"/>
      <c r="AIE27" s="333"/>
      <c r="AIF27" s="333"/>
      <c r="AIG27" s="333"/>
      <c r="AIH27" s="333"/>
      <c r="AII27" s="333"/>
      <c r="AIJ27" s="333"/>
      <c r="AIK27" s="333"/>
      <c r="AIL27" s="333"/>
      <c r="AIM27" s="333"/>
      <c r="AIN27" s="333"/>
      <c r="AIO27" s="333"/>
      <c r="AIP27" s="333"/>
      <c r="AIQ27" s="333"/>
      <c r="AIR27" s="333"/>
      <c r="AIS27" s="333"/>
      <c r="AIT27" s="333"/>
      <c r="AIU27" s="333"/>
      <c r="AIV27" s="333"/>
      <c r="AIW27" s="333"/>
      <c r="AIX27" s="333"/>
      <c r="AIY27" s="333"/>
      <c r="AIZ27" s="333"/>
      <c r="AJA27" s="333"/>
      <c r="AJB27" s="333"/>
      <c r="AJC27" s="333"/>
      <c r="AJD27" s="333"/>
      <c r="AJE27" s="333"/>
      <c r="AJF27" s="333"/>
      <c r="AJG27" s="333"/>
      <c r="AJH27" s="333"/>
      <c r="AJI27" s="333"/>
      <c r="AJJ27" s="333"/>
      <c r="AJK27" s="333"/>
      <c r="AJL27" s="333"/>
      <c r="AJM27" s="333"/>
      <c r="AJN27" s="333"/>
      <c r="AJO27" s="333"/>
      <c r="AJP27" s="333"/>
      <c r="AJQ27" s="333"/>
      <c r="AJR27" s="333"/>
      <c r="AJS27" s="333"/>
      <c r="AJT27" s="333"/>
      <c r="AJU27" s="333"/>
      <c r="AJV27" s="333"/>
      <c r="AJW27" s="333"/>
      <c r="AJX27" s="333"/>
      <c r="AJY27" s="333"/>
      <c r="AJZ27" s="333"/>
      <c r="AKA27" s="333"/>
      <c r="AKB27" s="333"/>
      <c r="AKC27" s="333"/>
      <c r="AKD27" s="333"/>
      <c r="AKE27" s="333"/>
      <c r="AKF27" s="333"/>
      <c r="AKG27" s="333"/>
      <c r="AKH27" s="333"/>
      <c r="AKI27" s="333"/>
      <c r="AKJ27" s="333"/>
      <c r="AKK27" s="333"/>
      <c r="AKL27" s="333"/>
      <c r="AKM27" s="333"/>
      <c r="AKN27" s="333"/>
      <c r="AKO27" s="333"/>
      <c r="AKP27" s="333"/>
      <c r="AKQ27" s="333"/>
      <c r="AKR27" s="333"/>
      <c r="AKS27" s="333"/>
      <c r="AKT27" s="333"/>
      <c r="AKU27" s="333"/>
      <c r="AKV27" s="333"/>
      <c r="AKW27" s="333"/>
      <c r="AKX27" s="333"/>
      <c r="AKY27" s="333"/>
      <c r="AKZ27" s="333"/>
      <c r="ALA27" s="333"/>
      <c r="ALB27" s="333"/>
      <c r="ALC27" s="333"/>
      <c r="ALD27" s="333"/>
      <c r="ALE27" s="333"/>
      <c r="ALF27" s="333"/>
      <c r="ALG27" s="333"/>
      <c r="ALH27" s="333"/>
      <c r="ALI27" s="333"/>
      <c r="ALJ27" s="333"/>
      <c r="ALK27" s="333"/>
      <c r="ALL27" s="333"/>
      <c r="ALM27" s="333"/>
      <c r="ALN27" s="333"/>
      <c r="ALO27" s="333"/>
      <c r="ALP27" s="333"/>
      <c r="ALQ27" s="333"/>
      <c r="ALR27" s="333"/>
      <c r="ALS27" s="333"/>
      <c r="ALT27" s="333"/>
      <c r="ALU27" s="333"/>
      <c r="ALV27" s="333"/>
      <c r="ALW27" s="333"/>
      <c r="ALX27" s="333"/>
      <c r="ALY27" s="333"/>
      <c r="ALZ27" s="333"/>
      <c r="AMA27" s="333"/>
      <c r="AMB27" s="333"/>
      <c r="AMC27" s="333"/>
      <c r="AMD27" s="333"/>
      <c r="AME27" s="333"/>
      <c r="AMF27" s="333"/>
      <c r="AMG27" s="333"/>
      <c r="AMH27" s="333"/>
      <c r="AMI27" s="333"/>
      <c r="AMJ27" s="333"/>
      <c r="AMK27" s="333"/>
      <c r="AML27" s="333"/>
      <c r="AMM27" s="333"/>
      <c r="AMN27" s="333"/>
      <c r="AMO27" s="333"/>
    </row>
    <row r="28" spans="1:1029" s="223" customFormat="1" x14ac:dyDescent="0.25">
      <c r="A28" s="88">
        <v>45643</v>
      </c>
      <c r="B28" s="49" t="s">
        <v>41</v>
      </c>
      <c r="C28" s="480" t="s">
        <v>158</v>
      </c>
      <c r="D28" s="502">
        <v>86355908</v>
      </c>
      <c r="E28" s="503">
        <v>575.22</v>
      </c>
      <c r="F28" s="504"/>
      <c r="G28" s="541"/>
      <c r="H28" s="542"/>
      <c r="I28" s="517"/>
      <c r="J28" s="517"/>
      <c r="K28" s="543"/>
      <c r="L28" s="519">
        <v>575.22</v>
      </c>
      <c r="M28" s="520">
        <v>575.22</v>
      </c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8"/>
      <c r="AD28" s="130"/>
      <c r="AE28" s="97"/>
      <c r="AF28" s="80">
        <f t="shared" ref="AF28:AF29" si="4">+L28-SUM(M28:AD28)</f>
        <v>0</v>
      </c>
      <c r="AG28" s="333"/>
      <c r="AH28" s="129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3"/>
      <c r="EK28" s="333"/>
      <c r="EL28" s="333"/>
      <c r="EM28" s="333"/>
      <c r="EN28" s="333"/>
      <c r="EO28" s="333"/>
      <c r="EP28" s="333"/>
      <c r="EQ28" s="333"/>
      <c r="ER28" s="333"/>
      <c r="ES28" s="333"/>
      <c r="ET28" s="333"/>
      <c r="EU28" s="333"/>
      <c r="EV28" s="333"/>
      <c r="EW28" s="333"/>
      <c r="EX28" s="333"/>
      <c r="EY28" s="333"/>
      <c r="EZ28" s="333"/>
      <c r="FA28" s="333"/>
      <c r="FB28" s="333"/>
      <c r="FC28" s="333"/>
      <c r="FD28" s="333"/>
      <c r="FE28" s="333"/>
      <c r="FF28" s="333"/>
      <c r="FG28" s="333"/>
      <c r="FH28" s="333"/>
      <c r="FI28" s="333"/>
      <c r="FJ28" s="333"/>
      <c r="FK28" s="333"/>
      <c r="FL28" s="333"/>
      <c r="FM28" s="333"/>
      <c r="FN28" s="333"/>
      <c r="FO28" s="333"/>
      <c r="FP28" s="333"/>
      <c r="FQ28" s="333"/>
      <c r="FR28" s="333"/>
      <c r="FS28" s="333"/>
      <c r="FT28" s="333"/>
      <c r="FU28" s="333"/>
      <c r="FV28" s="333"/>
      <c r="FW28" s="333"/>
      <c r="FX28" s="333"/>
      <c r="FY28" s="333"/>
      <c r="FZ28" s="333"/>
      <c r="GA28" s="333"/>
      <c r="GB28" s="333"/>
      <c r="GC28" s="333"/>
      <c r="GD28" s="333"/>
      <c r="GE28" s="333"/>
      <c r="GF28" s="333"/>
      <c r="GG28" s="333"/>
      <c r="GH28" s="333"/>
      <c r="GI28" s="333"/>
      <c r="GJ28" s="333"/>
      <c r="GK28" s="333"/>
      <c r="GL28" s="333"/>
      <c r="GM28" s="333"/>
      <c r="GN28" s="333"/>
      <c r="GO28" s="333"/>
      <c r="GP28" s="333"/>
      <c r="GQ28" s="333"/>
      <c r="GR28" s="333"/>
      <c r="GS28" s="333"/>
      <c r="GT28" s="333"/>
      <c r="GU28" s="333"/>
      <c r="GV28" s="333"/>
      <c r="GW28" s="333"/>
      <c r="GX28" s="333"/>
      <c r="GY28" s="333"/>
      <c r="GZ28" s="333"/>
      <c r="HA28" s="333"/>
      <c r="HB28" s="333"/>
      <c r="HC28" s="333"/>
      <c r="HD28" s="333"/>
      <c r="HE28" s="333"/>
      <c r="HF28" s="333"/>
      <c r="HG28" s="333"/>
      <c r="HH28" s="333"/>
      <c r="HI28" s="333"/>
      <c r="HJ28" s="333"/>
      <c r="HK28" s="333"/>
      <c r="HL28" s="333"/>
      <c r="HM28" s="333"/>
      <c r="HN28" s="333"/>
      <c r="HO28" s="333"/>
      <c r="HP28" s="333"/>
      <c r="HQ28" s="333"/>
      <c r="HR28" s="333"/>
      <c r="HS28" s="333"/>
      <c r="HT28" s="333"/>
      <c r="HU28" s="333"/>
      <c r="HV28" s="333"/>
      <c r="HW28" s="333"/>
      <c r="HX28" s="333"/>
      <c r="HY28" s="333"/>
      <c r="HZ28" s="333"/>
      <c r="IA28" s="333"/>
      <c r="IB28" s="333"/>
      <c r="IC28" s="333"/>
      <c r="ID28" s="333"/>
      <c r="IE28" s="333"/>
      <c r="IF28" s="333"/>
      <c r="IG28" s="333"/>
      <c r="IH28" s="333"/>
      <c r="II28" s="333"/>
      <c r="IJ28" s="333"/>
      <c r="IK28" s="333"/>
      <c r="IL28" s="333"/>
      <c r="IM28" s="333"/>
      <c r="IN28" s="333"/>
      <c r="IO28" s="333"/>
      <c r="IP28" s="333"/>
      <c r="IQ28" s="333"/>
      <c r="IR28" s="333"/>
      <c r="IS28" s="333"/>
      <c r="IT28" s="333"/>
      <c r="IU28" s="333"/>
      <c r="IV28" s="333"/>
      <c r="IW28" s="333"/>
      <c r="IX28" s="333"/>
      <c r="IY28" s="333"/>
      <c r="IZ28" s="333"/>
      <c r="JA28" s="333"/>
      <c r="JB28" s="333"/>
      <c r="JC28" s="333"/>
      <c r="JD28" s="333"/>
      <c r="JE28" s="333"/>
      <c r="JF28" s="333"/>
      <c r="JG28" s="333"/>
      <c r="JH28" s="333"/>
      <c r="JI28" s="333"/>
      <c r="JJ28" s="333"/>
      <c r="JK28" s="333"/>
      <c r="JL28" s="333"/>
      <c r="JM28" s="333"/>
      <c r="JN28" s="333"/>
      <c r="JO28" s="333"/>
      <c r="JP28" s="333"/>
      <c r="JQ28" s="333"/>
      <c r="JR28" s="333"/>
      <c r="JS28" s="333"/>
      <c r="JT28" s="333"/>
      <c r="JU28" s="333"/>
      <c r="JV28" s="333"/>
      <c r="JW28" s="333"/>
      <c r="JX28" s="333"/>
      <c r="JY28" s="333"/>
      <c r="JZ28" s="333"/>
      <c r="KA28" s="333"/>
      <c r="KB28" s="333"/>
      <c r="KC28" s="333"/>
      <c r="KD28" s="333"/>
      <c r="KE28" s="333"/>
      <c r="KF28" s="333"/>
      <c r="KG28" s="333"/>
      <c r="KH28" s="333"/>
      <c r="KI28" s="333"/>
      <c r="KJ28" s="333"/>
      <c r="KK28" s="333"/>
      <c r="KL28" s="333"/>
      <c r="KM28" s="333"/>
      <c r="KN28" s="333"/>
      <c r="KO28" s="333"/>
      <c r="KP28" s="333"/>
      <c r="KQ28" s="333"/>
      <c r="KR28" s="333"/>
      <c r="KS28" s="333"/>
      <c r="KT28" s="333"/>
      <c r="KU28" s="333"/>
      <c r="KV28" s="333"/>
      <c r="KW28" s="333"/>
      <c r="KX28" s="333"/>
      <c r="KY28" s="333"/>
      <c r="KZ28" s="333"/>
      <c r="LA28" s="333"/>
      <c r="LB28" s="333"/>
      <c r="LC28" s="333"/>
      <c r="LD28" s="333"/>
      <c r="LE28" s="333"/>
      <c r="LF28" s="333"/>
      <c r="LG28" s="333"/>
      <c r="LH28" s="333"/>
      <c r="LI28" s="333"/>
      <c r="LJ28" s="333"/>
      <c r="LK28" s="333"/>
      <c r="LL28" s="333"/>
      <c r="LM28" s="333"/>
      <c r="LN28" s="333"/>
      <c r="LO28" s="333"/>
      <c r="LP28" s="333"/>
      <c r="LQ28" s="333"/>
      <c r="LR28" s="333"/>
      <c r="LS28" s="333"/>
      <c r="LT28" s="333"/>
      <c r="LU28" s="333"/>
      <c r="LV28" s="333"/>
      <c r="LW28" s="333"/>
      <c r="LX28" s="333"/>
      <c r="LY28" s="333"/>
      <c r="LZ28" s="333"/>
      <c r="MA28" s="333"/>
      <c r="MB28" s="333"/>
      <c r="MC28" s="333"/>
      <c r="MD28" s="333"/>
      <c r="ME28" s="333"/>
      <c r="MF28" s="333"/>
      <c r="MG28" s="333"/>
      <c r="MH28" s="333"/>
      <c r="MI28" s="333"/>
      <c r="MJ28" s="333"/>
      <c r="MK28" s="333"/>
      <c r="ML28" s="333"/>
      <c r="MM28" s="333"/>
      <c r="MN28" s="333"/>
      <c r="MO28" s="333"/>
      <c r="MP28" s="333"/>
      <c r="MQ28" s="333"/>
      <c r="MR28" s="333"/>
      <c r="MS28" s="333"/>
      <c r="MT28" s="333"/>
      <c r="MU28" s="333"/>
      <c r="MV28" s="333"/>
      <c r="MW28" s="333"/>
      <c r="MX28" s="333"/>
      <c r="MY28" s="333"/>
      <c r="MZ28" s="333"/>
      <c r="NA28" s="333"/>
      <c r="NB28" s="333"/>
      <c r="NC28" s="333"/>
      <c r="ND28" s="333"/>
      <c r="NE28" s="333"/>
      <c r="NF28" s="333"/>
      <c r="NG28" s="333"/>
      <c r="NH28" s="333"/>
      <c r="NI28" s="333"/>
      <c r="NJ28" s="333"/>
      <c r="NK28" s="333"/>
      <c r="NL28" s="333"/>
      <c r="NM28" s="333"/>
      <c r="NN28" s="333"/>
      <c r="NO28" s="333"/>
      <c r="NP28" s="333"/>
      <c r="NQ28" s="333"/>
      <c r="NR28" s="333"/>
      <c r="NS28" s="333"/>
      <c r="NT28" s="333"/>
      <c r="NU28" s="333"/>
      <c r="NV28" s="333"/>
      <c r="NW28" s="333"/>
      <c r="NX28" s="333"/>
      <c r="NY28" s="333"/>
      <c r="NZ28" s="333"/>
      <c r="OA28" s="333"/>
      <c r="OB28" s="333"/>
      <c r="OC28" s="333"/>
      <c r="OD28" s="333"/>
      <c r="OE28" s="333"/>
      <c r="OF28" s="333"/>
      <c r="OG28" s="333"/>
      <c r="OH28" s="333"/>
      <c r="OI28" s="333"/>
      <c r="OJ28" s="333"/>
      <c r="OK28" s="333"/>
      <c r="OL28" s="333"/>
      <c r="OM28" s="333"/>
      <c r="ON28" s="333"/>
      <c r="OO28" s="333"/>
      <c r="OP28" s="333"/>
      <c r="OQ28" s="333"/>
      <c r="OR28" s="333"/>
      <c r="OS28" s="333"/>
      <c r="OT28" s="333"/>
      <c r="OU28" s="333"/>
      <c r="OV28" s="333"/>
      <c r="OW28" s="333"/>
      <c r="OX28" s="333"/>
      <c r="OY28" s="333"/>
      <c r="OZ28" s="333"/>
      <c r="PA28" s="333"/>
      <c r="PB28" s="333"/>
      <c r="PC28" s="333"/>
      <c r="PD28" s="333"/>
      <c r="PE28" s="333"/>
      <c r="PF28" s="333"/>
      <c r="PG28" s="333"/>
      <c r="PH28" s="333"/>
      <c r="PI28" s="333"/>
      <c r="PJ28" s="333"/>
      <c r="PK28" s="333"/>
      <c r="PL28" s="333"/>
      <c r="PM28" s="333"/>
      <c r="PN28" s="333"/>
      <c r="PO28" s="333"/>
      <c r="PP28" s="333"/>
      <c r="PQ28" s="333"/>
      <c r="PR28" s="333"/>
      <c r="PS28" s="333"/>
      <c r="PT28" s="333"/>
      <c r="PU28" s="333"/>
      <c r="PV28" s="333"/>
      <c r="PW28" s="333"/>
      <c r="PX28" s="333"/>
      <c r="PY28" s="333"/>
      <c r="PZ28" s="333"/>
      <c r="QA28" s="333"/>
      <c r="QB28" s="333"/>
      <c r="QC28" s="333"/>
      <c r="QD28" s="333"/>
      <c r="QE28" s="333"/>
      <c r="QF28" s="333"/>
      <c r="QG28" s="333"/>
      <c r="QH28" s="333"/>
      <c r="QI28" s="333"/>
      <c r="QJ28" s="333"/>
      <c r="QK28" s="333"/>
      <c r="QL28" s="333"/>
      <c r="QM28" s="333"/>
      <c r="QN28" s="333"/>
      <c r="QO28" s="333"/>
      <c r="QP28" s="333"/>
      <c r="QQ28" s="333"/>
      <c r="QR28" s="333"/>
      <c r="QS28" s="333"/>
      <c r="QT28" s="333"/>
      <c r="QU28" s="333"/>
      <c r="QV28" s="333"/>
      <c r="QW28" s="333"/>
      <c r="QX28" s="333"/>
      <c r="QY28" s="333"/>
      <c r="QZ28" s="333"/>
      <c r="RA28" s="333"/>
      <c r="RB28" s="333"/>
      <c r="RC28" s="333"/>
      <c r="RD28" s="333"/>
      <c r="RE28" s="333"/>
      <c r="RF28" s="333"/>
      <c r="RG28" s="333"/>
      <c r="RH28" s="333"/>
      <c r="RI28" s="333"/>
      <c r="RJ28" s="333"/>
      <c r="RK28" s="333"/>
      <c r="RL28" s="333"/>
      <c r="RM28" s="333"/>
      <c r="RN28" s="333"/>
      <c r="RO28" s="333"/>
      <c r="RP28" s="333"/>
      <c r="RQ28" s="333"/>
      <c r="RR28" s="333"/>
      <c r="RS28" s="333"/>
      <c r="RT28" s="333"/>
      <c r="RU28" s="333"/>
      <c r="RV28" s="333"/>
      <c r="RW28" s="333"/>
      <c r="RX28" s="333"/>
      <c r="RY28" s="333"/>
      <c r="RZ28" s="333"/>
      <c r="SA28" s="333"/>
      <c r="SB28" s="333"/>
      <c r="SC28" s="333"/>
      <c r="SD28" s="333"/>
      <c r="SE28" s="333"/>
      <c r="SF28" s="333"/>
      <c r="SG28" s="333"/>
      <c r="SH28" s="333"/>
      <c r="SI28" s="333"/>
      <c r="SJ28" s="333"/>
      <c r="SK28" s="333"/>
      <c r="SL28" s="333"/>
      <c r="SM28" s="333"/>
      <c r="SN28" s="333"/>
      <c r="SO28" s="333"/>
      <c r="SP28" s="333"/>
      <c r="SQ28" s="333"/>
      <c r="SR28" s="333"/>
      <c r="SS28" s="333"/>
      <c r="ST28" s="333"/>
      <c r="SU28" s="333"/>
      <c r="SV28" s="333"/>
      <c r="SW28" s="333"/>
      <c r="SX28" s="333"/>
      <c r="SY28" s="333"/>
      <c r="SZ28" s="333"/>
      <c r="TA28" s="333"/>
      <c r="TB28" s="333"/>
      <c r="TC28" s="333"/>
      <c r="TD28" s="333"/>
      <c r="TE28" s="333"/>
      <c r="TF28" s="333"/>
      <c r="TG28" s="333"/>
      <c r="TH28" s="333"/>
      <c r="TI28" s="333"/>
      <c r="TJ28" s="333"/>
      <c r="TK28" s="333"/>
      <c r="TL28" s="333"/>
      <c r="TM28" s="333"/>
      <c r="TN28" s="333"/>
      <c r="TO28" s="333"/>
      <c r="TP28" s="333"/>
      <c r="TQ28" s="333"/>
      <c r="TR28" s="333"/>
      <c r="TS28" s="333"/>
      <c r="TT28" s="333"/>
      <c r="TU28" s="333"/>
      <c r="TV28" s="333"/>
      <c r="TW28" s="333"/>
      <c r="TX28" s="333"/>
      <c r="TY28" s="333"/>
      <c r="TZ28" s="333"/>
      <c r="UA28" s="333"/>
      <c r="UB28" s="333"/>
      <c r="UC28" s="333"/>
      <c r="UD28" s="333"/>
      <c r="UE28" s="333"/>
      <c r="UF28" s="333"/>
      <c r="UG28" s="333"/>
      <c r="UH28" s="333"/>
      <c r="UI28" s="333"/>
      <c r="UJ28" s="333"/>
      <c r="UK28" s="333"/>
      <c r="UL28" s="333"/>
      <c r="UM28" s="333"/>
      <c r="UN28" s="333"/>
      <c r="UO28" s="333"/>
      <c r="UP28" s="333"/>
      <c r="UQ28" s="333"/>
      <c r="UR28" s="333"/>
      <c r="US28" s="333"/>
      <c r="UT28" s="333"/>
      <c r="UU28" s="333"/>
      <c r="UV28" s="333"/>
      <c r="UW28" s="333"/>
      <c r="UX28" s="333"/>
      <c r="UY28" s="333"/>
      <c r="UZ28" s="333"/>
      <c r="VA28" s="333"/>
      <c r="VB28" s="333"/>
      <c r="VC28" s="333"/>
      <c r="VD28" s="333"/>
      <c r="VE28" s="333"/>
      <c r="VF28" s="333"/>
      <c r="VG28" s="333"/>
      <c r="VH28" s="333"/>
      <c r="VI28" s="333"/>
      <c r="VJ28" s="333"/>
      <c r="VK28" s="333"/>
      <c r="VL28" s="333"/>
      <c r="VM28" s="333"/>
      <c r="VN28" s="333"/>
      <c r="VO28" s="333"/>
      <c r="VP28" s="333"/>
      <c r="VQ28" s="333"/>
      <c r="VR28" s="333"/>
      <c r="VS28" s="333"/>
      <c r="VT28" s="333"/>
      <c r="VU28" s="333"/>
      <c r="VV28" s="333"/>
      <c r="VW28" s="333"/>
      <c r="VX28" s="333"/>
      <c r="VY28" s="333"/>
      <c r="VZ28" s="333"/>
      <c r="WA28" s="333"/>
      <c r="WB28" s="333"/>
      <c r="WC28" s="333"/>
      <c r="WD28" s="333"/>
      <c r="WE28" s="333"/>
      <c r="WF28" s="333"/>
      <c r="WG28" s="333"/>
      <c r="WH28" s="333"/>
      <c r="WI28" s="333"/>
      <c r="WJ28" s="333"/>
      <c r="WK28" s="333"/>
      <c r="WL28" s="333"/>
      <c r="WM28" s="333"/>
      <c r="WN28" s="333"/>
      <c r="WO28" s="333"/>
      <c r="WP28" s="333"/>
      <c r="WQ28" s="333"/>
      <c r="WR28" s="333"/>
      <c r="WS28" s="333"/>
      <c r="WT28" s="333"/>
      <c r="WU28" s="333"/>
      <c r="WV28" s="333"/>
      <c r="WW28" s="333"/>
      <c r="WX28" s="333"/>
      <c r="WY28" s="333"/>
      <c r="WZ28" s="333"/>
      <c r="XA28" s="333"/>
      <c r="XB28" s="333"/>
      <c r="XC28" s="333"/>
      <c r="XD28" s="333"/>
      <c r="XE28" s="333"/>
      <c r="XF28" s="333"/>
      <c r="XG28" s="333"/>
      <c r="XH28" s="333"/>
      <c r="XI28" s="333"/>
      <c r="XJ28" s="333"/>
      <c r="XK28" s="333"/>
      <c r="XL28" s="333"/>
      <c r="XM28" s="333"/>
      <c r="XN28" s="333"/>
      <c r="XO28" s="333"/>
      <c r="XP28" s="333"/>
      <c r="XQ28" s="333"/>
      <c r="XR28" s="333"/>
      <c r="XS28" s="333"/>
      <c r="XT28" s="333"/>
      <c r="XU28" s="333"/>
      <c r="XV28" s="333"/>
      <c r="XW28" s="333"/>
      <c r="XX28" s="333"/>
      <c r="XY28" s="333"/>
      <c r="XZ28" s="333"/>
      <c r="YA28" s="333"/>
      <c r="YB28" s="333"/>
      <c r="YC28" s="333"/>
      <c r="YD28" s="333"/>
      <c r="YE28" s="333"/>
      <c r="YF28" s="333"/>
      <c r="YG28" s="333"/>
      <c r="YH28" s="333"/>
      <c r="YI28" s="333"/>
      <c r="YJ28" s="333"/>
      <c r="YK28" s="333"/>
      <c r="YL28" s="333"/>
      <c r="YM28" s="333"/>
      <c r="YN28" s="333"/>
      <c r="YO28" s="333"/>
      <c r="YP28" s="333"/>
      <c r="YQ28" s="333"/>
      <c r="YR28" s="333"/>
      <c r="YS28" s="333"/>
      <c r="YT28" s="333"/>
      <c r="YU28" s="333"/>
      <c r="YV28" s="333"/>
      <c r="YW28" s="333"/>
      <c r="YX28" s="333"/>
      <c r="YY28" s="333"/>
      <c r="YZ28" s="333"/>
      <c r="ZA28" s="333"/>
      <c r="ZB28" s="333"/>
      <c r="ZC28" s="333"/>
      <c r="ZD28" s="333"/>
      <c r="ZE28" s="333"/>
      <c r="ZF28" s="333"/>
      <c r="ZG28" s="333"/>
      <c r="ZH28" s="333"/>
      <c r="ZI28" s="333"/>
      <c r="ZJ28" s="333"/>
      <c r="ZK28" s="333"/>
      <c r="ZL28" s="333"/>
      <c r="ZM28" s="333"/>
      <c r="ZN28" s="333"/>
      <c r="ZO28" s="333"/>
      <c r="ZP28" s="333"/>
      <c r="ZQ28" s="333"/>
      <c r="ZR28" s="333"/>
      <c r="ZS28" s="333"/>
      <c r="ZT28" s="333"/>
      <c r="ZU28" s="333"/>
      <c r="ZV28" s="333"/>
      <c r="ZW28" s="333"/>
      <c r="ZX28" s="333"/>
      <c r="ZY28" s="333"/>
      <c r="ZZ28" s="333"/>
      <c r="AAA28" s="333"/>
      <c r="AAB28" s="333"/>
      <c r="AAC28" s="333"/>
      <c r="AAD28" s="333"/>
      <c r="AAE28" s="333"/>
      <c r="AAF28" s="333"/>
      <c r="AAG28" s="333"/>
      <c r="AAH28" s="333"/>
      <c r="AAI28" s="333"/>
      <c r="AAJ28" s="333"/>
      <c r="AAK28" s="333"/>
      <c r="AAL28" s="333"/>
      <c r="AAM28" s="333"/>
      <c r="AAN28" s="333"/>
      <c r="AAO28" s="333"/>
      <c r="AAP28" s="333"/>
      <c r="AAQ28" s="333"/>
      <c r="AAR28" s="333"/>
      <c r="AAS28" s="333"/>
      <c r="AAT28" s="333"/>
      <c r="AAU28" s="333"/>
      <c r="AAV28" s="333"/>
      <c r="AAW28" s="333"/>
      <c r="AAX28" s="333"/>
      <c r="AAY28" s="333"/>
      <c r="AAZ28" s="333"/>
      <c r="ABA28" s="333"/>
      <c r="ABB28" s="333"/>
      <c r="ABC28" s="333"/>
      <c r="ABD28" s="333"/>
      <c r="ABE28" s="333"/>
      <c r="ABF28" s="333"/>
      <c r="ABG28" s="333"/>
      <c r="ABH28" s="333"/>
      <c r="ABI28" s="333"/>
      <c r="ABJ28" s="333"/>
      <c r="ABK28" s="333"/>
      <c r="ABL28" s="333"/>
      <c r="ABM28" s="333"/>
      <c r="ABN28" s="333"/>
      <c r="ABO28" s="333"/>
      <c r="ABP28" s="333"/>
      <c r="ABQ28" s="333"/>
      <c r="ABR28" s="333"/>
      <c r="ABS28" s="333"/>
      <c r="ABT28" s="333"/>
      <c r="ABU28" s="333"/>
      <c r="ABV28" s="333"/>
      <c r="ABW28" s="333"/>
      <c r="ABX28" s="333"/>
      <c r="ABY28" s="333"/>
      <c r="ABZ28" s="333"/>
      <c r="ACA28" s="333"/>
      <c r="ACB28" s="333"/>
      <c r="ACC28" s="333"/>
      <c r="ACD28" s="333"/>
      <c r="ACE28" s="333"/>
      <c r="ACF28" s="333"/>
      <c r="ACG28" s="333"/>
      <c r="ACH28" s="333"/>
      <c r="ACI28" s="333"/>
      <c r="ACJ28" s="333"/>
      <c r="ACK28" s="333"/>
      <c r="ACL28" s="333"/>
      <c r="ACM28" s="333"/>
      <c r="ACN28" s="333"/>
      <c r="ACO28" s="333"/>
      <c r="ACP28" s="333"/>
      <c r="ACQ28" s="333"/>
      <c r="ACR28" s="333"/>
      <c r="ACS28" s="333"/>
      <c r="ACT28" s="333"/>
      <c r="ACU28" s="333"/>
      <c r="ACV28" s="333"/>
      <c r="ACW28" s="333"/>
      <c r="ACX28" s="333"/>
      <c r="ACY28" s="333"/>
      <c r="ACZ28" s="333"/>
      <c r="ADA28" s="333"/>
      <c r="ADB28" s="333"/>
      <c r="ADC28" s="333"/>
      <c r="ADD28" s="333"/>
      <c r="ADE28" s="333"/>
      <c r="ADF28" s="333"/>
      <c r="ADG28" s="333"/>
      <c r="ADH28" s="333"/>
      <c r="ADI28" s="333"/>
      <c r="ADJ28" s="333"/>
      <c r="ADK28" s="333"/>
      <c r="ADL28" s="333"/>
      <c r="ADM28" s="333"/>
      <c r="ADN28" s="333"/>
      <c r="ADO28" s="333"/>
      <c r="ADP28" s="333"/>
      <c r="ADQ28" s="333"/>
      <c r="ADR28" s="333"/>
      <c r="ADS28" s="333"/>
      <c r="ADT28" s="333"/>
      <c r="ADU28" s="333"/>
      <c r="ADV28" s="333"/>
      <c r="ADW28" s="333"/>
      <c r="ADX28" s="333"/>
      <c r="ADY28" s="333"/>
      <c r="ADZ28" s="333"/>
      <c r="AEA28" s="333"/>
      <c r="AEB28" s="333"/>
      <c r="AEC28" s="333"/>
      <c r="AED28" s="333"/>
      <c r="AEE28" s="333"/>
      <c r="AEF28" s="333"/>
      <c r="AEG28" s="333"/>
      <c r="AEH28" s="333"/>
      <c r="AEI28" s="333"/>
      <c r="AEJ28" s="333"/>
      <c r="AEK28" s="333"/>
      <c r="AEL28" s="333"/>
      <c r="AEM28" s="333"/>
      <c r="AEN28" s="333"/>
      <c r="AEO28" s="333"/>
      <c r="AEP28" s="333"/>
      <c r="AEQ28" s="333"/>
      <c r="AER28" s="333"/>
      <c r="AES28" s="333"/>
      <c r="AET28" s="333"/>
      <c r="AEU28" s="333"/>
      <c r="AEV28" s="333"/>
      <c r="AEW28" s="333"/>
      <c r="AEX28" s="333"/>
      <c r="AEY28" s="333"/>
      <c r="AEZ28" s="333"/>
      <c r="AFA28" s="333"/>
      <c r="AFB28" s="333"/>
      <c r="AFC28" s="333"/>
      <c r="AFD28" s="333"/>
      <c r="AFE28" s="333"/>
      <c r="AFF28" s="333"/>
      <c r="AFG28" s="333"/>
      <c r="AFH28" s="333"/>
      <c r="AFI28" s="333"/>
      <c r="AFJ28" s="333"/>
      <c r="AFK28" s="333"/>
      <c r="AFL28" s="333"/>
      <c r="AFM28" s="333"/>
      <c r="AFN28" s="333"/>
      <c r="AFO28" s="333"/>
      <c r="AFP28" s="333"/>
      <c r="AFQ28" s="333"/>
      <c r="AFR28" s="333"/>
      <c r="AFS28" s="333"/>
      <c r="AFT28" s="333"/>
      <c r="AFU28" s="333"/>
      <c r="AFV28" s="333"/>
      <c r="AFW28" s="333"/>
      <c r="AFX28" s="333"/>
      <c r="AFY28" s="333"/>
      <c r="AFZ28" s="333"/>
      <c r="AGA28" s="333"/>
      <c r="AGB28" s="333"/>
      <c r="AGC28" s="333"/>
      <c r="AGD28" s="333"/>
      <c r="AGE28" s="333"/>
      <c r="AGF28" s="333"/>
      <c r="AGG28" s="333"/>
      <c r="AGH28" s="333"/>
      <c r="AGI28" s="333"/>
      <c r="AGJ28" s="333"/>
      <c r="AGK28" s="333"/>
      <c r="AGL28" s="333"/>
      <c r="AGM28" s="333"/>
      <c r="AGN28" s="333"/>
      <c r="AGO28" s="333"/>
      <c r="AGP28" s="333"/>
      <c r="AGQ28" s="333"/>
      <c r="AGR28" s="333"/>
      <c r="AGS28" s="333"/>
      <c r="AGT28" s="333"/>
      <c r="AGU28" s="333"/>
      <c r="AGV28" s="333"/>
      <c r="AGW28" s="333"/>
      <c r="AGX28" s="333"/>
      <c r="AGY28" s="333"/>
      <c r="AGZ28" s="333"/>
      <c r="AHA28" s="333"/>
      <c r="AHB28" s="333"/>
      <c r="AHC28" s="333"/>
      <c r="AHD28" s="333"/>
      <c r="AHE28" s="333"/>
      <c r="AHF28" s="333"/>
      <c r="AHG28" s="333"/>
      <c r="AHH28" s="333"/>
      <c r="AHI28" s="333"/>
      <c r="AHJ28" s="333"/>
      <c r="AHK28" s="333"/>
      <c r="AHL28" s="333"/>
      <c r="AHM28" s="333"/>
      <c r="AHN28" s="333"/>
      <c r="AHO28" s="333"/>
      <c r="AHP28" s="333"/>
      <c r="AHQ28" s="333"/>
      <c r="AHR28" s="333"/>
      <c r="AHS28" s="333"/>
      <c r="AHT28" s="333"/>
      <c r="AHU28" s="333"/>
      <c r="AHV28" s="333"/>
      <c r="AHW28" s="333"/>
      <c r="AHX28" s="333"/>
      <c r="AHY28" s="333"/>
      <c r="AHZ28" s="333"/>
      <c r="AIA28" s="333"/>
      <c r="AIB28" s="333"/>
      <c r="AIC28" s="333"/>
      <c r="AID28" s="333"/>
      <c r="AIE28" s="333"/>
      <c r="AIF28" s="333"/>
      <c r="AIG28" s="333"/>
      <c r="AIH28" s="333"/>
      <c r="AII28" s="333"/>
      <c r="AIJ28" s="333"/>
      <c r="AIK28" s="333"/>
      <c r="AIL28" s="333"/>
      <c r="AIM28" s="333"/>
      <c r="AIN28" s="333"/>
      <c r="AIO28" s="333"/>
      <c r="AIP28" s="333"/>
      <c r="AIQ28" s="333"/>
      <c r="AIR28" s="333"/>
      <c r="AIS28" s="333"/>
      <c r="AIT28" s="333"/>
      <c r="AIU28" s="333"/>
      <c r="AIV28" s="333"/>
      <c r="AIW28" s="333"/>
      <c r="AIX28" s="333"/>
      <c r="AIY28" s="333"/>
      <c r="AIZ28" s="333"/>
      <c r="AJA28" s="333"/>
      <c r="AJB28" s="333"/>
      <c r="AJC28" s="333"/>
      <c r="AJD28" s="333"/>
      <c r="AJE28" s="333"/>
      <c r="AJF28" s="333"/>
      <c r="AJG28" s="333"/>
      <c r="AJH28" s="333"/>
      <c r="AJI28" s="333"/>
      <c r="AJJ28" s="333"/>
      <c r="AJK28" s="333"/>
      <c r="AJL28" s="333"/>
      <c r="AJM28" s="333"/>
      <c r="AJN28" s="333"/>
      <c r="AJO28" s="333"/>
      <c r="AJP28" s="333"/>
      <c r="AJQ28" s="333"/>
      <c r="AJR28" s="333"/>
      <c r="AJS28" s="333"/>
      <c r="AJT28" s="333"/>
      <c r="AJU28" s="333"/>
      <c r="AJV28" s="333"/>
      <c r="AJW28" s="333"/>
      <c r="AJX28" s="333"/>
      <c r="AJY28" s="333"/>
      <c r="AJZ28" s="333"/>
      <c r="AKA28" s="333"/>
      <c r="AKB28" s="333"/>
      <c r="AKC28" s="333"/>
      <c r="AKD28" s="333"/>
      <c r="AKE28" s="333"/>
      <c r="AKF28" s="333"/>
      <c r="AKG28" s="333"/>
      <c r="AKH28" s="333"/>
      <c r="AKI28" s="333"/>
      <c r="AKJ28" s="333"/>
      <c r="AKK28" s="333"/>
      <c r="AKL28" s="333"/>
      <c r="AKM28" s="333"/>
      <c r="AKN28" s="333"/>
      <c r="AKO28" s="333"/>
      <c r="AKP28" s="333"/>
      <c r="AKQ28" s="333"/>
      <c r="AKR28" s="333"/>
      <c r="AKS28" s="333"/>
      <c r="AKT28" s="333"/>
      <c r="AKU28" s="333"/>
      <c r="AKV28" s="333"/>
      <c r="AKW28" s="333"/>
      <c r="AKX28" s="333"/>
      <c r="AKY28" s="333"/>
      <c r="AKZ28" s="333"/>
      <c r="ALA28" s="333"/>
      <c r="ALB28" s="333"/>
      <c r="ALC28" s="333"/>
      <c r="ALD28" s="333"/>
      <c r="ALE28" s="333"/>
      <c r="ALF28" s="333"/>
      <c r="ALG28" s="333"/>
      <c r="ALH28" s="333"/>
      <c r="ALI28" s="333"/>
      <c r="ALJ28" s="333"/>
      <c r="ALK28" s="333"/>
      <c r="ALL28" s="333"/>
      <c r="ALM28" s="333"/>
      <c r="ALN28" s="333"/>
      <c r="ALO28" s="333"/>
      <c r="ALP28" s="333"/>
      <c r="ALQ28" s="333"/>
      <c r="ALR28" s="333"/>
      <c r="ALS28" s="333"/>
      <c r="ALT28" s="333"/>
      <c r="ALU28" s="333"/>
      <c r="ALV28" s="333"/>
      <c r="ALW28" s="333"/>
      <c r="ALX28" s="333"/>
      <c r="ALY28" s="333"/>
      <c r="ALZ28" s="333"/>
      <c r="AMA28" s="333"/>
      <c r="AMB28" s="333"/>
      <c r="AMC28" s="333"/>
      <c r="AMD28" s="333"/>
      <c r="AME28" s="333"/>
      <c r="AMF28" s="333"/>
      <c r="AMG28" s="333"/>
      <c r="AMH28" s="333"/>
      <c r="AMI28" s="333"/>
      <c r="AMJ28" s="333"/>
      <c r="AMK28" s="333"/>
      <c r="AML28" s="333"/>
      <c r="AMM28" s="333"/>
      <c r="AMN28" s="333"/>
      <c r="AMO28" s="333"/>
    </row>
    <row r="29" spans="1:1029" s="223" customFormat="1" x14ac:dyDescent="0.25">
      <c r="A29" s="88">
        <v>45643</v>
      </c>
      <c r="B29" s="94" t="s">
        <v>42</v>
      </c>
      <c r="C29" s="480">
        <v>8586</v>
      </c>
      <c r="D29" s="502">
        <v>745023432</v>
      </c>
      <c r="E29" s="503">
        <v>371.1</v>
      </c>
      <c r="F29" s="504"/>
      <c r="G29" s="541"/>
      <c r="H29" s="542"/>
      <c r="I29" s="517"/>
      <c r="J29" s="517"/>
      <c r="K29" s="543"/>
      <c r="L29" s="577">
        <v>371.1</v>
      </c>
      <c r="M29" s="520"/>
      <c r="N29" s="517"/>
      <c r="O29" s="517">
        <v>309.25</v>
      </c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8"/>
      <c r="AD29" s="130">
        <v>61.85</v>
      </c>
      <c r="AE29" s="97" t="s">
        <v>44</v>
      </c>
      <c r="AF29" s="80">
        <f t="shared" si="4"/>
        <v>0</v>
      </c>
      <c r="AG29" s="333"/>
      <c r="AH29" s="129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3"/>
      <c r="FF29" s="333"/>
      <c r="FG29" s="333"/>
      <c r="FH29" s="333"/>
      <c r="FI29" s="333"/>
      <c r="FJ29" s="333"/>
      <c r="FK29" s="333"/>
      <c r="FL29" s="333"/>
      <c r="FM29" s="333"/>
      <c r="FN29" s="333"/>
      <c r="FO29" s="333"/>
      <c r="FP29" s="333"/>
      <c r="FQ29" s="333"/>
      <c r="FR29" s="333"/>
      <c r="FS29" s="333"/>
      <c r="FT29" s="333"/>
      <c r="FU29" s="333"/>
      <c r="FV29" s="333"/>
      <c r="FW29" s="333"/>
      <c r="FX29" s="333"/>
      <c r="FY29" s="333"/>
      <c r="FZ29" s="333"/>
      <c r="GA29" s="333"/>
      <c r="GB29" s="333"/>
      <c r="GC29" s="333"/>
      <c r="GD29" s="333"/>
      <c r="GE29" s="333"/>
      <c r="GF29" s="333"/>
      <c r="GG29" s="333"/>
      <c r="GH29" s="333"/>
      <c r="GI29" s="333"/>
      <c r="GJ29" s="333"/>
      <c r="GK29" s="333"/>
      <c r="GL29" s="333"/>
      <c r="GM29" s="333"/>
      <c r="GN29" s="333"/>
      <c r="GO29" s="333"/>
      <c r="GP29" s="333"/>
      <c r="GQ29" s="333"/>
      <c r="GR29" s="333"/>
      <c r="GS29" s="333"/>
      <c r="GT29" s="333"/>
      <c r="GU29" s="333"/>
      <c r="GV29" s="333"/>
      <c r="GW29" s="333"/>
      <c r="GX29" s="333"/>
      <c r="GY29" s="333"/>
      <c r="GZ29" s="333"/>
      <c r="HA29" s="333"/>
      <c r="HB29" s="333"/>
      <c r="HC29" s="333"/>
      <c r="HD29" s="333"/>
      <c r="HE29" s="333"/>
      <c r="HF29" s="333"/>
      <c r="HG29" s="333"/>
      <c r="HH29" s="333"/>
      <c r="HI29" s="333"/>
      <c r="HJ29" s="333"/>
      <c r="HK29" s="333"/>
      <c r="HL29" s="333"/>
      <c r="HM29" s="333"/>
      <c r="HN29" s="333"/>
      <c r="HO29" s="333"/>
      <c r="HP29" s="333"/>
      <c r="HQ29" s="333"/>
      <c r="HR29" s="333"/>
      <c r="HS29" s="333"/>
      <c r="HT29" s="333"/>
      <c r="HU29" s="333"/>
      <c r="HV29" s="333"/>
      <c r="HW29" s="333"/>
      <c r="HX29" s="333"/>
      <c r="HY29" s="333"/>
      <c r="HZ29" s="333"/>
      <c r="IA29" s="333"/>
      <c r="IB29" s="333"/>
      <c r="IC29" s="333"/>
      <c r="ID29" s="333"/>
      <c r="IE29" s="333"/>
      <c r="IF29" s="333"/>
      <c r="IG29" s="333"/>
      <c r="IH29" s="333"/>
      <c r="II29" s="333"/>
      <c r="IJ29" s="333"/>
      <c r="IK29" s="333"/>
      <c r="IL29" s="333"/>
      <c r="IM29" s="333"/>
      <c r="IN29" s="333"/>
      <c r="IO29" s="333"/>
      <c r="IP29" s="333"/>
      <c r="IQ29" s="333"/>
      <c r="IR29" s="333"/>
      <c r="IS29" s="333"/>
      <c r="IT29" s="333"/>
      <c r="IU29" s="333"/>
      <c r="IV29" s="333"/>
      <c r="IW29" s="333"/>
      <c r="IX29" s="333"/>
      <c r="IY29" s="333"/>
      <c r="IZ29" s="333"/>
      <c r="JA29" s="333"/>
      <c r="JB29" s="333"/>
      <c r="JC29" s="333"/>
      <c r="JD29" s="333"/>
      <c r="JE29" s="333"/>
      <c r="JF29" s="333"/>
      <c r="JG29" s="333"/>
      <c r="JH29" s="333"/>
      <c r="JI29" s="333"/>
      <c r="JJ29" s="333"/>
      <c r="JK29" s="333"/>
      <c r="JL29" s="333"/>
      <c r="JM29" s="333"/>
      <c r="JN29" s="333"/>
      <c r="JO29" s="333"/>
      <c r="JP29" s="333"/>
      <c r="JQ29" s="333"/>
      <c r="JR29" s="333"/>
      <c r="JS29" s="333"/>
      <c r="JT29" s="333"/>
      <c r="JU29" s="333"/>
      <c r="JV29" s="333"/>
      <c r="JW29" s="333"/>
      <c r="JX29" s="333"/>
      <c r="JY29" s="333"/>
      <c r="JZ29" s="333"/>
      <c r="KA29" s="333"/>
      <c r="KB29" s="333"/>
      <c r="KC29" s="333"/>
      <c r="KD29" s="333"/>
      <c r="KE29" s="333"/>
      <c r="KF29" s="333"/>
      <c r="KG29" s="333"/>
      <c r="KH29" s="333"/>
      <c r="KI29" s="333"/>
      <c r="KJ29" s="333"/>
      <c r="KK29" s="333"/>
      <c r="KL29" s="333"/>
      <c r="KM29" s="333"/>
      <c r="KN29" s="333"/>
      <c r="KO29" s="333"/>
      <c r="KP29" s="333"/>
      <c r="KQ29" s="333"/>
      <c r="KR29" s="333"/>
      <c r="KS29" s="333"/>
      <c r="KT29" s="333"/>
      <c r="KU29" s="333"/>
      <c r="KV29" s="333"/>
      <c r="KW29" s="333"/>
      <c r="KX29" s="333"/>
      <c r="KY29" s="333"/>
      <c r="KZ29" s="333"/>
      <c r="LA29" s="333"/>
      <c r="LB29" s="333"/>
      <c r="LC29" s="333"/>
      <c r="LD29" s="333"/>
      <c r="LE29" s="333"/>
      <c r="LF29" s="333"/>
      <c r="LG29" s="333"/>
      <c r="LH29" s="333"/>
      <c r="LI29" s="333"/>
      <c r="LJ29" s="333"/>
      <c r="LK29" s="333"/>
      <c r="LL29" s="333"/>
      <c r="LM29" s="333"/>
      <c r="LN29" s="333"/>
      <c r="LO29" s="333"/>
      <c r="LP29" s="333"/>
      <c r="LQ29" s="333"/>
      <c r="LR29" s="333"/>
      <c r="LS29" s="333"/>
      <c r="LT29" s="333"/>
      <c r="LU29" s="333"/>
      <c r="LV29" s="333"/>
      <c r="LW29" s="333"/>
      <c r="LX29" s="333"/>
      <c r="LY29" s="333"/>
      <c r="LZ29" s="333"/>
      <c r="MA29" s="333"/>
      <c r="MB29" s="333"/>
      <c r="MC29" s="333"/>
      <c r="MD29" s="333"/>
      <c r="ME29" s="333"/>
      <c r="MF29" s="333"/>
      <c r="MG29" s="333"/>
      <c r="MH29" s="333"/>
      <c r="MI29" s="333"/>
      <c r="MJ29" s="333"/>
      <c r="MK29" s="333"/>
      <c r="ML29" s="333"/>
      <c r="MM29" s="333"/>
      <c r="MN29" s="333"/>
      <c r="MO29" s="333"/>
      <c r="MP29" s="333"/>
      <c r="MQ29" s="333"/>
      <c r="MR29" s="333"/>
      <c r="MS29" s="333"/>
      <c r="MT29" s="333"/>
      <c r="MU29" s="333"/>
      <c r="MV29" s="333"/>
      <c r="MW29" s="333"/>
      <c r="MX29" s="333"/>
      <c r="MY29" s="333"/>
      <c r="MZ29" s="333"/>
      <c r="NA29" s="333"/>
      <c r="NB29" s="333"/>
      <c r="NC29" s="333"/>
      <c r="ND29" s="333"/>
      <c r="NE29" s="333"/>
      <c r="NF29" s="333"/>
      <c r="NG29" s="333"/>
      <c r="NH29" s="333"/>
      <c r="NI29" s="333"/>
      <c r="NJ29" s="333"/>
      <c r="NK29" s="333"/>
      <c r="NL29" s="333"/>
      <c r="NM29" s="333"/>
      <c r="NN29" s="333"/>
      <c r="NO29" s="333"/>
      <c r="NP29" s="333"/>
      <c r="NQ29" s="333"/>
      <c r="NR29" s="333"/>
      <c r="NS29" s="333"/>
      <c r="NT29" s="333"/>
      <c r="NU29" s="333"/>
      <c r="NV29" s="333"/>
      <c r="NW29" s="333"/>
      <c r="NX29" s="333"/>
      <c r="NY29" s="333"/>
      <c r="NZ29" s="333"/>
      <c r="OA29" s="333"/>
      <c r="OB29" s="333"/>
      <c r="OC29" s="333"/>
      <c r="OD29" s="333"/>
      <c r="OE29" s="333"/>
      <c r="OF29" s="333"/>
      <c r="OG29" s="333"/>
      <c r="OH29" s="333"/>
      <c r="OI29" s="333"/>
      <c r="OJ29" s="333"/>
      <c r="OK29" s="333"/>
      <c r="OL29" s="333"/>
      <c r="OM29" s="333"/>
      <c r="ON29" s="333"/>
      <c r="OO29" s="333"/>
      <c r="OP29" s="333"/>
      <c r="OQ29" s="333"/>
      <c r="OR29" s="333"/>
      <c r="OS29" s="333"/>
      <c r="OT29" s="333"/>
      <c r="OU29" s="333"/>
      <c r="OV29" s="333"/>
      <c r="OW29" s="333"/>
      <c r="OX29" s="333"/>
      <c r="OY29" s="333"/>
      <c r="OZ29" s="333"/>
      <c r="PA29" s="333"/>
      <c r="PB29" s="333"/>
      <c r="PC29" s="333"/>
      <c r="PD29" s="333"/>
      <c r="PE29" s="333"/>
      <c r="PF29" s="333"/>
      <c r="PG29" s="333"/>
      <c r="PH29" s="333"/>
      <c r="PI29" s="333"/>
      <c r="PJ29" s="333"/>
      <c r="PK29" s="333"/>
      <c r="PL29" s="333"/>
      <c r="PM29" s="333"/>
      <c r="PN29" s="333"/>
      <c r="PO29" s="333"/>
      <c r="PP29" s="333"/>
      <c r="PQ29" s="333"/>
      <c r="PR29" s="333"/>
      <c r="PS29" s="333"/>
      <c r="PT29" s="333"/>
      <c r="PU29" s="333"/>
      <c r="PV29" s="333"/>
      <c r="PW29" s="333"/>
      <c r="PX29" s="333"/>
      <c r="PY29" s="333"/>
      <c r="PZ29" s="333"/>
      <c r="QA29" s="333"/>
      <c r="QB29" s="333"/>
      <c r="QC29" s="333"/>
      <c r="QD29" s="333"/>
      <c r="QE29" s="333"/>
      <c r="QF29" s="333"/>
      <c r="QG29" s="333"/>
      <c r="QH29" s="333"/>
      <c r="QI29" s="333"/>
      <c r="QJ29" s="333"/>
      <c r="QK29" s="333"/>
      <c r="QL29" s="333"/>
      <c r="QM29" s="333"/>
      <c r="QN29" s="333"/>
      <c r="QO29" s="333"/>
      <c r="QP29" s="333"/>
      <c r="QQ29" s="333"/>
      <c r="QR29" s="333"/>
      <c r="QS29" s="333"/>
      <c r="QT29" s="333"/>
      <c r="QU29" s="333"/>
      <c r="QV29" s="333"/>
      <c r="QW29" s="333"/>
      <c r="QX29" s="333"/>
      <c r="QY29" s="333"/>
      <c r="QZ29" s="333"/>
      <c r="RA29" s="333"/>
      <c r="RB29" s="333"/>
      <c r="RC29" s="333"/>
      <c r="RD29" s="333"/>
      <c r="RE29" s="333"/>
      <c r="RF29" s="333"/>
      <c r="RG29" s="333"/>
      <c r="RH29" s="333"/>
      <c r="RI29" s="333"/>
      <c r="RJ29" s="333"/>
      <c r="RK29" s="333"/>
      <c r="RL29" s="333"/>
      <c r="RM29" s="333"/>
      <c r="RN29" s="333"/>
      <c r="RO29" s="333"/>
      <c r="RP29" s="333"/>
      <c r="RQ29" s="333"/>
      <c r="RR29" s="333"/>
      <c r="RS29" s="333"/>
      <c r="RT29" s="333"/>
      <c r="RU29" s="333"/>
      <c r="RV29" s="333"/>
      <c r="RW29" s="333"/>
      <c r="RX29" s="333"/>
      <c r="RY29" s="333"/>
      <c r="RZ29" s="333"/>
      <c r="SA29" s="333"/>
      <c r="SB29" s="333"/>
      <c r="SC29" s="333"/>
      <c r="SD29" s="333"/>
      <c r="SE29" s="333"/>
      <c r="SF29" s="333"/>
      <c r="SG29" s="333"/>
      <c r="SH29" s="333"/>
      <c r="SI29" s="333"/>
      <c r="SJ29" s="333"/>
      <c r="SK29" s="333"/>
      <c r="SL29" s="333"/>
      <c r="SM29" s="333"/>
      <c r="SN29" s="333"/>
      <c r="SO29" s="333"/>
      <c r="SP29" s="333"/>
      <c r="SQ29" s="333"/>
      <c r="SR29" s="333"/>
      <c r="SS29" s="333"/>
      <c r="ST29" s="333"/>
      <c r="SU29" s="333"/>
      <c r="SV29" s="333"/>
      <c r="SW29" s="333"/>
      <c r="SX29" s="333"/>
      <c r="SY29" s="333"/>
      <c r="SZ29" s="333"/>
      <c r="TA29" s="333"/>
      <c r="TB29" s="333"/>
      <c r="TC29" s="333"/>
      <c r="TD29" s="333"/>
      <c r="TE29" s="333"/>
      <c r="TF29" s="333"/>
      <c r="TG29" s="333"/>
      <c r="TH29" s="333"/>
      <c r="TI29" s="333"/>
      <c r="TJ29" s="333"/>
      <c r="TK29" s="333"/>
      <c r="TL29" s="333"/>
      <c r="TM29" s="333"/>
      <c r="TN29" s="333"/>
      <c r="TO29" s="333"/>
      <c r="TP29" s="333"/>
      <c r="TQ29" s="333"/>
      <c r="TR29" s="333"/>
      <c r="TS29" s="333"/>
      <c r="TT29" s="333"/>
      <c r="TU29" s="333"/>
      <c r="TV29" s="333"/>
      <c r="TW29" s="333"/>
      <c r="TX29" s="333"/>
      <c r="TY29" s="333"/>
      <c r="TZ29" s="333"/>
      <c r="UA29" s="333"/>
      <c r="UB29" s="333"/>
      <c r="UC29" s="333"/>
      <c r="UD29" s="333"/>
      <c r="UE29" s="333"/>
      <c r="UF29" s="333"/>
      <c r="UG29" s="333"/>
      <c r="UH29" s="333"/>
      <c r="UI29" s="333"/>
      <c r="UJ29" s="333"/>
      <c r="UK29" s="333"/>
      <c r="UL29" s="333"/>
      <c r="UM29" s="333"/>
      <c r="UN29" s="333"/>
      <c r="UO29" s="333"/>
      <c r="UP29" s="333"/>
      <c r="UQ29" s="333"/>
      <c r="UR29" s="333"/>
      <c r="US29" s="333"/>
      <c r="UT29" s="333"/>
      <c r="UU29" s="333"/>
      <c r="UV29" s="333"/>
      <c r="UW29" s="333"/>
      <c r="UX29" s="333"/>
      <c r="UY29" s="333"/>
      <c r="UZ29" s="333"/>
      <c r="VA29" s="333"/>
      <c r="VB29" s="333"/>
      <c r="VC29" s="333"/>
      <c r="VD29" s="333"/>
      <c r="VE29" s="333"/>
      <c r="VF29" s="333"/>
      <c r="VG29" s="333"/>
      <c r="VH29" s="333"/>
      <c r="VI29" s="333"/>
      <c r="VJ29" s="333"/>
      <c r="VK29" s="333"/>
      <c r="VL29" s="333"/>
      <c r="VM29" s="333"/>
      <c r="VN29" s="333"/>
      <c r="VO29" s="333"/>
      <c r="VP29" s="333"/>
      <c r="VQ29" s="333"/>
      <c r="VR29" s="333"/>
      <c r="VS29" s="333"/>
      <c r="VT29" s="333"/>
      <c r="VU29" s="333"/>
      <c r="VV29" s="333"/>
      <c r="VW29" s="333"/>
      <c r="VX29" s="333"/>
      <c r="VY29" s="333"/>
      <c r="VZ29" s="333"/>
      <c r="WA29" s="333"/>
      <c r="WB29" s="333"/>
      <c r="WC29" s="333"/>
      <c r="WD29" s="333"/>
      <c r="WE29" s="333"/>
      <c r="WF29" s="333"/>
      <c r="WG29" s="333"/>
      <c r="WH29" s="333"/>
      <c r="WI29" s="333"/>
      <c r="WJ29" s="333"/>
      <c r="WK29" s="333"/>
      <c r="WL29" s="333"/>
      <c r="WM29" s="333"/>
      <c r="WN29" s="333"/>
      <c r="WO29" s="333"/>
      <c r="WP29" s="333"/>
      <c r="WQ29" s="333"/>
      <c r="WR29" s="333"/>
      <c r="WS29" s="333"/>
      <c r="WT29" s="333"/>
      <c r="WU29" s="333"/>
      <c r="WV29" s="333"/>
      <c r="WW29" s="333"/>
      <c r="WX29" s="333"/>
      <c r="WY29" s="333"/>
      <c r="WZ29" s="333"/>
      <c r="XA29" s="333"/>
      <c r="XB29" s="333"/>
      <c r="XC29" s="333"/>
      <c r="XD29" s="333"/>
      <c r="XE29" s="333"/>
      <c r="XF29" s="333"/>
      <c r="XG29" s="333"/>
      <c r="XH29" s="333"/>
      <c r="XI29" s="333"/>
      <c r="XJ29" s="333"/>
      <c r="XK29" s="333"/>
      <c r="XL29" s="333"/>
      <c r="XM29" s="333"/>
      <c r="XN29" s="333"/>
      <c r="XO29" s="333"/>
      <c r="XP29" s="333"/>
      <c r="XQ29" s="333"/>
      <c r="XR29" s="333"/>
      <c r="XS29" s="333"/>
      <c r="XT29" s="333"/>
      <c r="XU29" s="333"/>
      <c r="XV29" s="333"/>
      <c r="XW29" s="333"/>
      <c r="XX29" s="333"/>
      <c r="XY29" s="333"/>
      <c r="XZ29" s="333"/>
      <c r="YA29" s="333"/>
      <c r="YB29" s="333"/>
      <c r="YC29" s="333"/>
      <c r="YD29" s="333"/>
      <c r="YE29" s="333"/>
      <c r="YF29" s="333"/>
      <c r="YG29" s="333"/>
      <c r="YH29" s="333"/>
      <c r="YI29" s="333"/>
      <c r="YJ29" s="333"/>
      <c r="YK29" s="333"/>
      <c r="YL29" s="333"/>
      <c r="YM29" s="333"/>
      <c r="YN29" s="333"/>
      <c r="YO29" s="333"/>
      <c r="YP29" s="333"/>
      <c r="YQ29" s="333"/>
      <c r="YR29" s="333"/>
      <c r="YS29" s="333"/>
      <c r="YT29" s="333"/>
      <c r="YU29" s="333"/>
      <c r="YV29" s="333"/>
      <c r="YW29" s="333"/>
      <c r="YX29" s="333"/>
      <c r="YY29" s="333"/>
      <c r="YZ29" s="333"/>
      <c r="ZA29" s="333"/>
      <c r="ZB29" s="333"/>
      <c r="ZC29" s="333"/>
      <c r="ZD29" s="333"/>
      <c r="ZE29" s="333"/>
      <c r="ZF29" s="333"/>
      <c r="ZG29" s="333"/>
      <c r="ZH29" s="333"/>
      <c r="ZI29" s="333"/>
      <c r="ZJ29" s="333"/>
      <c r="ZK29" s="333"/>
      <c r="ZL29" s="333"/>
      <c r="ZM29" s="333"/>
      <c r="ZN29" s="333"/>
      <c r="ZO29" s="333"/>
      <c r="ZP29" s="333"/>
      <c r="ZQ29" s="333"/>
      <c r="ZR29" s="333"/>
      <c r="ZS29" s="333"/>
      <c r="ZT29" s="333"/>
      <c r="ZU29" s="333"/>
      <c r="ZV29" s="333"/>
      <c r="ZW29" s="333"/>
      <c r="ZX29" s="333"/>
      <c r="ZY29" s="333"/>
      <c r="ZZ29" s="333"/>
      <c r="AAA29" s="333"/>
      <c r="AAB29" s="333"/>
      <c r="AAC29" s="333"/>
      <c r="AAD29" s="333"/>
      <c r="AAE29" s="333"/>
      <c r="AAF29" s="333"/>
      <c r="AAG29" s="333"/>
      <c r="AAH29" s="333"/>
      <c r="AAI29" s="333"/>
      <c r="AAJ29" s="333"/>
      <c r="AAK29" s="333"/>
      <c r="AAL29" s="333"/>
      <c r="AAM29" s="333"/>
      <c r="AAN29" s="333"/>
      <c r="AAO29" s="333"/>
      <c r="AAP29" s="333"/>
      <c r="AAQ29" s="333"/>
      <c r="AAR29" s="333"/>
      <c r="AAS29" s="333"/>
      <c r="AAT29" s="333"/>
      <c r="AAU29" s="333"/>
      <c r="AAV29" s="333"/>
      <c r="AAW29" s="333"/>
      <c r="AAX29" s="333"/>
      <c r="AAY29" s="333"/>
      <c r="AAZ29" s="333"/>
      <c r="ABA29" s="333"/>
      <c r="ABB29" s="333"/>
      <c r="ABC29" s="333"/>
      <c r="ABD29" s="333"/>
      <c r="ABE29" s="333"/>
      <c r="ABF29" s="333"/>
      <c r="ABG29" s="333"/>
      <c r="ABH29" s="333"/>
      <c r="ABI29" s="333"/>
      <c r="ABJ29" s="333"/>
      <c r="ABK29" s="333"/>
      <c r="ABL29" s="333"/>
      <c r="ABM29" s="333"/>
      <c r="ABN29" s="333"/>
      <c r="ABO29" s="333"/>
      <c r="ABP29" s="333"/>
      <c r="ABQ29" s="333"/>
      <c r="ABR29" s="333"/>
      <c r="ABS29" s="333"/>
      <c r="ABT29" s="333"/>
      <c r="ABU29" s="333"/>
      <c r="ABV29" s="333"/>
      <c r="ABW29" s="333"/>
      <c r="ABX29" s="333"/>
      <c r="ABY29" s="333"/>
      <c r="ABZ29" s="333"/>
      <c r="ACA29" s="333"/>
      <c r="ACB29" s="333"/>
      <c r="ACC29" s="333"/>
      <c r="ACD29" s="333"/>
      <c r="ACE29" s="333"/>
      <c r="ACF29" s="333"/>
      <c r="ACG29" s="333"/>
      <c r="ACH29" s="333"/>
      <c r="ACI29" s="333"/>
      <c r="ACJ29" s="333"/>
      <c r="ACK29" s="333"/>
      <c r="ACL29" s="333"/>
      <c r="ACM29" s="333"/>
      <c r="ACN29" s="333"/>
      <c r="ACO29" s="333"/>
      <c r="ACP29" s="333"/>
      <c r="ACQ29" s="333"/>
      <c r="ACR29" s="333"/>
      <c r="ACS29" s="333"/>
      <c r="ACT29" s="333"/>
      <c r="ACU29" s="333"/>
      <c r="ACV29" s="333"/>
      <c r="ACW29" s="333"/>
      <c r="ACX29" s="333"/>
      <c r="ACY29" s="333"/>
      <c r="ACZ29" s="333"/>
      <c r="ADA29" s="333"/>
      <c r="ADB29" s="333"/>
      <c r="ADC29" s="333"/>
      <c r="ADD29" s="333"/>
      <c r="ADE29" s="333"/>
      <c r="ADF29" s="333"/>
      <c r="ADG29" s="333"/>
      <c r="ADH29" s="333"/>
      <c r="ADI29" s="333"/>
      <c r="ADJ29" s="333"/>
      <c r="ADK29" s="333"/>
      <c r="ADL29" s="333"/>
      <c r="ADM29" s="333"/>
      <c r="ADN29" s="333"/>
      <c r="ADO29" s="333"/>
      <c r="ADP29" s="333"/>
      <c r="ADQ29" s="333"/>
      <c r="ADR29" s="333"/>
      <c r="ADS29" s="333"/>
      <c r="ADT29" s="333"/>
      <c r="ADU29" s="333"/>
      <c r="ADV29" s="333"/>
      <c r="ADW29" s="333"/>
      <c r="ADX29" s="333"/>
      <c r="ADY29" s="333"/>
      <c r="ADZ29" s="333"/>
      <c r="AEA29" s="333"/>
      <c r="AEB29" s="333"/>
      <c r="AEC29" s="333"/>
      <c r="AED29" s="333"/>
      <c r="AEE29" s="333"/>
      <c r="AEF29" s="333"/>
      <c r="AEG29" s="333"/>
      <c r="AEH29" s="333"/>
      <c r="AEI29" s="333"/>
      <c r="AEJ29" s="333"/>
      <c r="AEK29" s="333"/>
      <c r="AEL29" s="333"/>
      <c r="AEM29" s="333"/>
      <c r="AEN29" s="333"/>
      <c r="AEO29" s="333"/>
      <c r="AEP29" s="333"/>
      <c r="AEQ29" s="333"/>
      <c r="AER29" s="333"/>
      <c r="AES29" s="333"/>
      <c r="AET29" s="333"/>
      <c r="AEU29" s="333"/>
      <c r="AEV29" s="333"/>
      <c r="AEW29" s="333"/>
      <c r="AEX29" s="333"/>
      <c r="AEY29" s="333"/>
      <c r="AEZ29" s="333"/>
      <c r="AFA29" s="333"/>
      <c r="AFB29" s="333"/>
      <c r="AFC29" s="333"/>
      <c r="AFD29" s="333"/>
      <c r="AFE29" s="333"/>
      <c r="AFF29" s="333"/>
      <c r="AFG29" s="333"/>
      <c r="AFH29" s="333"/>
      <c r="AFI29" s="333"/>
      <c r="AFJ29" s="333"/>
      <c r="AFK29" s="333"/>
      <c r="AFL29" s="333"/>
      <c r="AFM29" s="333"/>
      <c r="AFN29" s="333"/>
      <c r="AFO29" s="333"/>
      <c r="AFP29" s="333"/>
      <c r="AFQ29" s="333"/>
      <c r="AFR29" s="333"/>
      <c r="AFS29" s="333"/>
      <c r="AFT29" s="333"/>
      <c r="AFU29" s="333"/>
      <c r="AFV29" s="333"/>
      <c r="AFW29" s="333"/>
      <c r="AFX29" s="333"/>
      <c r="AFY29" s="333"/>
      <c r="AFZ29" s="333"/>
      <c r="AGA29" s="333"/>
      <c r="AGB29" s="333"/>
      <c r="AGC29" s="333"/>
      <c r="AGD29" s="333"/>
      <c r="AGE29" s="333"/>
      <c r="AGF29" s="333"/>
      <c r="AGG29" s="333"/>
      <c r="AGH29" s="333"/>
      <c r="AGI29" s="333"/>
      <c r="AGJ29" s="333"/>
      <c r="AGK29" s="333"/>
      <c r="AGL29" s="333"/>
      <c r="AGM29" s="333"/>
      <c r="AGN29" s="333"/>
      <c r="AGO29" s="333"/>
      <c r="AGP29" s="333"/>
      <c r="AGQ29" s="333"/>
      <c r="AGR29" s="333"/>
      <c r="AGS29" s="333"/>
      <c r="AGT29" s="333"/>
      <c r="AGU29" s="333"/>
      <c r="AGV29" s="333"/>
      <c r="AGW29" s="333"/>
      <c r="AGX29" s="333"/>
      <c r="AGY29" s="333"/>
      <c r="AGZ29" s="333"/>
      <c r="AHA29" s="333"/>
      <c r="AHB29" s="333"/>
      <c r="AHC29" s="333"/>
      <c r="AHD29" s="333"/>
      <c r="AHE29" s="333"/>
      <c r="AHF29" s="333"/>
      <c r="AHG29" s="333"/>
      <c r="AHH29" s="333"/>
      <c r="AHI29" s="333"/>
      <c r="AHJ29" s="333"/>
      <c r="AHK29" s="333"/>
      <c r="AHL29" s="333"/>
      <c r="AHM29" s="333"/>
      <c r="AHN29" s="333"/>
      <c r="AHO29" s="333"/>
      <c r="AHP29" s="333"/>
      <c r="AHQ29" s="333"/>
      <c r="AHR29" s="333"/>
      <c r="AHS29" s="333"/>
      <c r="AHT29" s="333"/>
      <c r="AHU29" s="333"/>
      <c r="AHV29" s="333"/>
      <c r="AHW29" s="333"/>
      <c r="AHX29" s="333"/>
      <c r="AHY29" s="333"/>
      <c r="AHZ29" s="333"/>
      <c r="AIA29" s="333"/>
      <c r="AIB29" s="333"/>
      <c r="AIC29" s="333"/>
      <c r="AID29" s="333"/>
      <c r="AIE29" s="333"/>
      <c r="AIF29" s="333"/>
      <c r="AIG29" s="333"/>
      <c r="AIH29" s="333"/>
      <c r="AII29" s="333"/>
      <c r="AIJ29" s="333"/>
      <c r="AIK29" s="333"/>
      <c r="AIL29" s="333"/>
      <c r="AIM29" s="333"/>
      <c r="AIN29" s="333"/>
      <c r="AIO29" s="333"/>
      <c r="AIP29" s="333"/>
      <c r="AIQ29" s="333"/>
      <c r="AIR29" s="333"/>
      <c r="AIS29" s="333"/>
      <c r="AIT29" s="333"/>
      <c r="AIU29" s="333"/>
      <c r="AIV29" s="333"/>
      <c r="AIW29" s="333"/>
      <c r="AIX29" s="333"/>
      <c r="AIY29" s="333"/>
      <c r="AIZ29" s="333"/>
      <c r="AJA29" s="333"/>
      <c r="AJB29" s="333"/>
      <c r="AJC29" s="333"/>
      <c r="AJD29" s="333"/>
      <c r="AJE29" s="333"/>
      <c r="AJF29" s="333"/>
      <c r="AJG29" s="333"/>
      <c r="AJH29" s="333"/>
      <c r="AJI29" s="333"/>
      <c r="AJJ29" s="333"/>
      <c r="AJK29" s="333"/>
      <c r="AJL29" s="333"/>
      <c r="AJM29" s="333"/>
      <c r="AJN29" s="333"/>
      <c r="AJO29" s="333"/>
      <c r="AJP29" s="333"/>
      <c r="AJQ29" s="333"/>
      <c r="AJR29" s="333"/>
      <c r="AJS29" s="333"/>
      <c r="AJT29" s="333"/>
      <c r="AJU29" s="333"/>
      <c r="AJV29" s="333"/>
      <c r="AJW29" s="333"/>
      <c r="AJX29" s="333"/>
      <c r="AJY29" s="333"/>
      <c r="AJZ29" s="333"/>
      <c r="AKA29" s="333"/>
      <c r="AKB29" s="333"/>
      <c r="AKC29" s="333"/>
      <c r="AKD29" s="333"/>
      <c r="AKE29" s="333"/>
      <c r="AKF29" s="333"/>
      <c r="AKG29" s="333"/>
      <c r="AKH29" s="333"/>
      <c r="AKI29" s="333"/>
      <c r="AKJ29" s="333"/>
      <c r="AKK29" s="333"/>
      <c r="AKL29" s="333"/>
      <c r="AKM29" s="333"/>
      <c r="AKN29" s="333"/>
      <c r="AKO29" s="333"/>
      <c r="AKP29" s="333"/>
      <c r="AKQ29" s="333"/>
      <c r="AKR29" s="333"/>
      <c r="AKS29" s="333"/>
      <c r="AKT29" s="333"/>
      <c r="AKU29" s="333"/>
      <c r="AKV29" s="333"/>
      <c r="AKW29" s="333"/>
      <c r="AKX29" s="333"/>
      <c r="AKY29" s="333"/>
      <c r="AKZ29" s="333"/>
      <c r="ALA29" s="333"/>
      <c r="ALB29" s="333"/>
      <c r="ALC29" s="333"/>
      <c r="ALD29" s="333"/>
      <c r="ALE29" s="333"/>
      <c r="ALF29" s="333"/>
      <c r="ALG29" s="333"/>
      <c r="ALH29" s="333"/>
      <c r="ALI29" s="333"/>
      <c r="ALJ29" s="333"/>
      <c r="ALK29" s="333"/>
      <c r="ALL29" s="333"/>
      <c r="ALM29" s="333"/>
      <c r="ALN29" s="333"/>
      <c r="ALO29" s="333"/>
      <c r="ALP29" s="333"/>
      <c r="ALQ29" s="333"/>
      <c r="ALR29" s="333"/>
      <c r="ALS29" s="333"/>
      <c r="ALT29" s="333"/>
      <c r="ALU29" s="333"/>
      <c r="ALV29" s="333"/>
      <c r="ALW29" s="333"/>
      <c r="ALX29" s="333"/>
      <c r="ALY29" s="333"/>
      <c r="ALZ29" s="333"/>
      <c r="AMA29" s="333"/>
      <c r="AMB29" s="333"/>
      <c r="AMC29" s="333"/>
      <c r="AMD29" s="333"/>
      <c r="AME29" s="333"/>
      <c r="AMF29" s="333"/>
      <c r="AMG29" s="333"/>
      <c r="AMH29" s="333"/>
      <c r="AMI29" s="333"/>
      <c r="AMJ29" s="333"/>
      <c r="AMK29" s="333"/>
      <c r="AML29" s="333"/>
      <c r="AMM29" s="333"/>
      <c r="AMN29" s="333"/>
      <c r="AMO29" s="333"/>
    </row>
    <row r="30" spans="1:1029" s="223" customFormat="1" x14ac:dyDescent="0.25">
      <c r="A30" s="88">
        <v>45643</v>
      </c>
      <c r="B30" s="334" t="s">
        <v>159</v>
      </c>
      <c r="C30" s="480">
        <v>9853</v>
      </c>
      <c r="D30" s="502">
        <v>972101401</v>
      </c>
      <c r="E30" s="503">
        <v>504</v>
      </c>
      <c r="F30" s="504"/>
      <c r="G30" s="541"/>
      <c r="H30" s="542"/>
      <c r="I30" s="517"/>
      <c r="J30" s="517"/>
      <c r="K30" s="543"/>
      <c r="L30" s="519">
        <v>504</v>
      </c>
      <c r="M30" s="520"/>
      <c r="N30" s="517"/>
      <c r="O30" s="517"/>
      <c r="P30" s="517"/>
      <c r="Q30" s="517"/>
      <c r="R30" s="517"/>
      <c r="S30" s="517"/>
      <c r="T30" s="517"/>
      <c r="U30" s="517"/>
      <c r="V30" s="517">
        <v>420</v>
      </c>
      <c r="W30" s="517"/>
      <c r="X30" s="517"/>
      <c r="Y30" s="517"/>
      <c r="Z30" s="517"/>
      <c r="AA30" s="517"/>
      <c r="AB30" s="517"/>
      <c r="AC30" s="518"/>
      <c r="AD30" s="130">
        <v>84</v>
      </c>
      <c r="AE30" s="97" t="s">
        <v>160</v>
      </c>
      <c r="AF30" s="80">
        <f t="shared" si="3"/>
        <v>0</v>
      </c>
      <c r="AG30" s="333"/>
      <c r="AH30" s="129">
        <v>420</v>
      </c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V30" s="333"/>
      <c r="CW30" s="333"/>
      <c r="CX30" s="333"/>
      <c r="CY30" s="333"/>
      <c r="CZ30" s="333"/>
      <c r="DA30" s="333"/>
      <c r="DB30" s="333"/>
      <c r="DC30" s="333"/>
      <c r="DD30" s="333"/>
      <c r="DE30" s="333"/>
      <c r="DF30" s="333"/>
      <c r="DG30" s="333"/>
      <c r="DH30" s="333"/>
      <c r="DI30" s="333"/>
      <c r="DJ30" s="333"/>
      <c r="DK30" s="333"/>
      <c r="DL30" s="333"/>
      <c r="DM30" s="333"/>
      <c r="DN30" s="333"/>
      <c r="DO30" s="333"/>
      <c r="DP30" s="333"/>
      <c r="DQ30" s="333"/>
      <c r="DR30" s="333"/>
      <c r="DS30" s="333"/>
      <c r="DT30" s="333"/>
      <c r="DU30" s="333"/>
      <c r="DV30" s="333"/>
      <c r="DW30" s="333"/>
      <c r="DX30" s="333"/>
      <c r="DY30" s="333"/>
      <c r="DZ30" s="333"/>
      <c r="EA30" s="333"/>
      <c r="EB30" s="333"/>
      <c r="EC30" s="333"/>
      <c r="ED30" s="333"/>
      <c r="EE30" s="333"/>
      <c r="EF30" s="333"/>
      <c r="EG30" s="333"/>
      <c r="EH30" s="333"/>
      <c r="EI30" s="333"/>
      <c r="EJ30" s="333"/>
      <c r="EK30" s="333"/>
      <c r="EL30" s="333"/>
      <c r="EM30" s="333"/>
      <c r="EN30" s="333"/>
      <c r="EO30" s="333"/>
      <c r="EP30" s="333"/>
      <c r="EQ30" s="333"/>
      <c r="ER30" s="333"/>
      <c r="ES30" s="333"/>
      <c r="ET30" s="333"/>
      <c r="EU30" s="333"/>
      <c r="EV30" s="333"/>
      <c r="EW30" s="333"/>
      <c r="EX30" s="333"/>
      <c r="EY30" s="333"/>
      <c r="EZ30" s="333"/>
      <c r="FA30" s="333"/>
      <c r="FB30" s="333"/>
      <c r="FC30" s="333"/>
      <c r="FD30" s="333"/>
      <c r="FE30" s="333"/>
      <c r="FF30" s="333"/>
      <c r="FG30" s="333"/>
      <c r="FH30" s="333"/>
      <c r="FI30" s="333"/>
      <c r="FJ30" s="333"/>
      <c r="FK30" s="333"/>
      <c r="FL30" s="333"/>
      <c r="FM30" s="333"/>
      <c r="FN30" s="333"/>
      <c r="FO30" s="333"/>
      <c r="FP30" s="333"/>
      <c r="FQ30" s="333"/>
      <c r="FR30" s="333"/>
      <c r="FS30" s="333"/>
      <c r="FT30" s="333"/>
      <c r="FU30" s="333"/>
      <c r="FV30" s="333"/>
      <c r="FW30" s="333"/>
      <c r="FX30" s="333"/>
      <c r="FY30" s="333"/>
      <c r="FZ30" s="333"/>
      <c r="GA30" s="333"/>
      <c r="GB30" s="333"/>
      <c r="GC30" s="333"/>
      <c r="GD30" s="333"/>
      <c r="GE30" s="333"/>
      <c r="GF30" s="333"/>
      <c r="GG30" s="333"/>
      <c r="GH30" s="333"/>
      <c r="GI30" s="333"/>
      <c r="GJ30" s="333"/>
      <c r="GK30" s="333"/>
      <c r="GL30" s="333"/>
      <c r="GM30" s="333"/>
      <c r="GN30" s="333"/>
      <c r="GO30" s="333"/>
      <c r="GP30" s="333"/>
      <c r="GQ30" s="333"/>
      <c r="GR30" s="333"/>
      <c r="GS30" s="333"/>
      <c r="GT30" s="333"/>
      <c r="GU30" s="333"/>
      <c r="GV30" s="333"/>
      <c r="GW30" s="333"/>
      <c r="GX30" s="333"/>
      <c r="GY30" s="333"/>
      <c r="GZ30" s="333"/>
      <c r="HA30" s="333"/>
      <c r="HB30" s="333"/>
      <c r="HC30" s="333"/>
      <c r="HD30" s="333"/>
      <c r="HE30" s="333"/>
      <c r="HF30" s="333"/>
      <c r="HG30" s="333"/>
      <c r="HH30" s="333"/>
      <c r="HI30" s="333"/>
      <c r="HJ30" s="333"/>
      <c r="HK30" s="333"/>
      <c r="HL30" s="333"/>
      <c r="HM30" s="333"/>
      <c r="HN30" s="333"/>
      <c r="HO30" s="333"/>
      <c r="HP30" s="333"/>
      <c r="HQ30" s="333"/>
      <c r="HR30" s="333"/>
      <c r="HS30" s="333"/>
      <c r="HT30" s="333"/>
      <c r="HU30" s="333"/>
      <c r="HV30" s="333"/>
      <c r="HW30" s="333"/>
      <c r="HX30" s="333"/>
      <c r="HY30" s="333"/>
      <c r="HZ30" s="333"/>
      <c r="IA30" s="333"/>
      <c r="IB30" s="333"/>
      <c r="IC30" s="333"/>
      <c r="ID30" s="333"/>
      <c r="IE30" s="333"/>
      <c r="IF30" s="333"/>
      <c r="IG30" s="333"/>
      <c r="IH30" s="333"/>
      <c r="II30" s="333"/>
      <c r="IJ30" s="333"/>
      <c r="IK30" s="333"/>
      <c r="IL30" s="333"/>
      <c r="IM30" s="333"/>
      <c r="IN30" s="333"/>
      <c r="IO30" s="333"/>
      <c r="IP30" s="333"/>
      <c r="IQ30" s="333"/>
      <c r="IR30" s="333"/>
      <c r="IS30" s="333"/>
      <c r="IT30" s="333"/>
      <c r="IU30" s="333"/>
      <c r="IV30" s="333"/>
      <c r="IW30" s="333"/>
      <c r="IX30" s="333"/>
      <c r="IY30" s="333"/>
      <c r="IZ30" s="333"/>
      <c r="JA30" s="333"/>
      <c r="JB30" s="333"/>
      <c r="JC30" s="333"/>
      <c r="JD30" s="333"/>
      <c r="JE30" s="333"/>
      <c r="JF30" s="333"/>
      <c r="JG30" s="333"/>
      <c r="JH30" s="333"/>
      <c r="JI30" s="333"/>
      <c r="JJ30" s="333"/>
      <c r="JK30" s="333"/>
      <c r="JL30" s="333"/>
      <c r="JM30" s="333"/>
      <c r="JN30" s="333"/>
      <c r="JO30" s="333"/>
      <c r="JP30" s="333"/>
      <c r="JQ30" s="333"/>
      <c r="JR30" s="333"/>
      <c r="JS30" s="333"/>
      <c r="JT30" s="333"/>
      <c r="JU30" s="333"/>
      <c r="JV30" s="333"/>
      <c r="JW30" s="333"/>
      <c r="JX30" s="333"/>
      <c r="JY30" s="333"/>
      <c r="JZ30" s="333"/>
      <c r="KA30" s="333"/>
      <c r="KB30" s="333"/>
      <c r="KC30" s="333"/>
      <c r="KD30" s="333"/>
      <c r="KE30" s="333"/>
      <c r="KF30" s="333"/>
      <c r="KG30" s="333"/>
      <c r="KH30" s="333"/>
      <c r="KI30" s="333"/>
      <c r="KJ30" s="333"/>
      <c r="KK30" s="333"/>
      <c r="KL30" s="333"/>
      <c r="KM30" s="333"/>
      <c r="KN30" s="333"/>
      <c r="KO30" s="333"/>
      <c r="KP30" s="333"/>
      <c r="KQ30" s="333"/>
      <c r="KR30" s="333"/>
      <c r="KS30" s="333"/>
      <c r="KT30" s="333"/>
      <c r="KU30" s="333"/>
      <c r="KV30" s="333"/>
      <c r="KW30" s="333"/>
      <c r="KX30" s="333"/>
      <c r="KY30" s="333"/>
      <c r="KZ30" s="333"/>
      <c r="LA30" s="333"/>
      <c r="LB30" s="333"/>
      <c r="LC30" s="333"/>
      <c r="LD30" s="333"/>
      <c r="LE30" s="333"/>
      <c r="LF30" s="333"/>
      <c r="LG30" s="333"/>
      <c r="LH30" s="333"/>
      <c r="LI30" s="333"/>
      <c r="LJ30" s="333"/>
      <c r="LK30" s="333"/>
      <c r="LL30" s="333"/>
      <c r="LM30" s="333"/>
      <c r="LN30" s="333"/>
      <c r="LO30" s="333"/>
      <c r="LP30" s="333"/>
      <c r="LQ30" s="333"/>
      <c r="LR30" s="333"/>
      <c r="LS30" s="333"/>
      <c r="LT30" s="333"/>
      <c r="LU30" s="333"/>
      <c r="LV30" s="333"/>
      <c r="LW30" s="333"/>
      <c r="LX30" s="333"/>
      <c r="LY30" s="333"/>
      <c r="LZ30" s="333"/>
      <c r="MA30" s="333"/>
      <c r="MB30" s="333"/>
      <c r="MC30" s="333"/>
      <c r="MD30" s="333"/>
      <c r="ME30" s="333"/>
      <c r="MF30" s="333"/>
      <c r="MG30" s="333"/>
      <c r="MH30" s="333"/>
      <c r="MI30" s="333"/>
      <c r="MJ30" s="333"/>
      <c r="MK30" s="333"/>
      <c r="ML30" s="333"/>
      <c r="MM30" s="333"/>
      <c r="MN30" s="333"/>
      <c r="MO30" s="333"/>
      <c r="MP30" s="333"/>
      <c r="MQ30" s="333"/>
      <c r="MR30" s="333"/>
      <c r="MS30" s="333"/>
      <c r="MT30" s="333"/>
      <c r="MU30" s="333"/>
      <c r="MV30" s="333"/>
      <c r="MW30" s="333"/>
      <c r="MX30" s="333"/>
      <c r="MY30" s="333"/>
      <c r="MZ30" s="333"/>
      <c r="NA30" s="333"/>
      <c r="NB30" s="333"/>
      <c r="NC30" s="333"/>
      <c r="ND30" s="333"/>
      <c r="NE30" s="333"/>
      <c r="NF30" s="333"/>
      <c r="NG30" s="333"/>
      <c r="NH30" s="333"/>
      <c r="NI30" s="333"/>
      <c r="NJ30" s="333"/>
      <c r="NK30" s="333"/>
      <c r="NL30" s="333"/>
      <c r="NM30" s="333"/>
      <c r="NN30" s="333"/>
      <c r="NO30" s="333"/>
      <c r="NP30" s="333"/>
      <c r="NQ30" s="333"/>
      <c r="NR30" s="333"/>
      <c r="NS30" s="333"/>
      <c r="NT30" s="333"/>
      <c r="NU30" s="333"/>
      <c r="NV30" s="333"/>
      <c r="NW30" s="333"/>
      <c r="NX30" s="333"/>
      <c r="NY30" s="333"/>
      <c r="NZ30" s="333"/>
      <c r="OA30" s="333"/>
      <c r="OB30" s="333"/>
      <c r="OC30" s="333"/>
      <c r="OD30" s="333"/>
      <c r="OE30" s="333"/>
      <c r="OF30" s="333"/>
      <c r="OG30" s="333"/>
      <c r="OH30" s="333"/>
      <c r="OI30" s="333"/>
      <c r="OJ30" s="333"/>
      <c r="OK30" s="333"/>
      <c r="OL30" s="333"/>
      <c r="OM30" s="333"/>
      <c r="ON30" s="333"/>
      <c r="OO30" s="333"/>
      <c r="OP30" s="333"/>
      <c r="OQ30" s="333"/>
      <c r="OR30" s="333"/>
      <c r="OS30" s="333"/>
      <c r="OT30" s="333"/>
      <c r="OU30" s="333"/>
      <c r="OV30" s="333"/>
      <c r="OW30" s="333"/>
      <c r="OX30" s="333"/>
      <c r="OY30" s="333"/>
      <c r="OZ30" s="333"/>
      <c r="PA30" s="333"/>
      <c r="PB30" s="333"/>
      <c r="PC30" s="333"/>
      <c r="PD30" s="333"/>
      <c r="PE30" s="333"/>
      <c r="PF30" s="333"/>
      <c r="PG30" s="333"/>
      <c r="PH30" s="333"/>
      <c r="PI30" s="333"/>
      <c r="PJ30" s="333"/>
      <c r="PK30" s="333"/>
      <c r="PL30" s="333"/>
      <c r="PM30" s="333"/>
      <c r="PN30" s="333"/>
      <c r="PO30" s="333"/>
      <c r="PP30" s="333"/>
      <c r="PQ30" s="333"/>
      <c r="PR30" s="333"/>
      <c r="PS30" s="333"/>
      <c r="PT30" s="333"/>
      <c r="PU30" s="333"/>
      <c r="PV30" s="333"/>
      <c r="PW30" s="333"/>
      <c r="PX30" s="333"/>
      <c r="PY30" s="333"/>
      <c r="PZ30" s="333"/>
      <c r="QA30" s="333"/>
      <c r="QB30" s="333"/>
      <c r="QC30" s="333"/>
      <c r="QD30" s="333"/>
      <c r="QE30" s="333"/>
      <c r="QF30" s="333"/>
      <c r="QG30" s="333"/>
      <c r="QH30" s="333"/>
      <c r="QI30" s="333"/>
      <c r="QJ30" s="333"/>
      <c r="QK30" s="333"/>
      <c r="QL30" s="333"/>
      <c r="QM30" s="333"/>
      <c r="QN30" s="333"/>
      <c r="QO30" s="333"/>
      <c r="QP30" s="333"/>
      <c r="QQ30" s="333"/>
      <c r="QR30" s="333"/>
      <c r="QS30" s="333"/>
      <c r="QT30" s="333"/>
      <c r="QU30" s="333"/>
      <c r="QV30" s="333"/>
      <c r="QW30" s="333"/>
      <c r="QX30" s="333"/>
      <c r="QY30" s="333"/>
      <c r="QZ30" s="333"/>
      <c r="RA30" s="333"/>
      <c r="RB30" s="333"/>
      <c r="RC30" s="333"/>
      <c r="RD30" s="333"/>
      <c r="RE30" s="333"/>
      <c r="RF30" s="333"/>
      <c r="RG30" s="333"/>
      <c r="RH30" s="333"/>
      <c r="RI30" s="333"/>
      <c r="RJ30" s="333"/>
      <c r="RK30" s="333"/>
      <c r="RL30" s="333"/>
      <c r="RM30" s="333"/>
      <c r="RN30" s="333"/>
      <c r="RO30" s="333"/>
      <c r="RP30" s="333"/>
      <c r="RQ30" s="333"/>
      <c r="RR30" s="333"/>
      <c r="RS30" s="333"/>
      <c r="RT30" s="333"/>
      <c r="RU30" s="333"/>
      <c r="RV30" s="333"/>
      <c r="RW30" s="333"/>
      <c r="RX30" s="333"/>
      <c r="RY30" s="333"/>
      <c r="RZ30" s="333"/>
      <c r="SA30" s="333"/>
      <c r="SB30" s="333"/>
      <c r="SC30" s="333"/>
      <c r="SD30" s="333"/>
      <c r="SE30" s="333"/>
      <c r="SF30" s="333"/>
      <c r="SG30" s="333"/>
      <c r="SH30" s="333"/>
      <c r="SI30" s="333"/>
      <c r="SJ30" s="333"/>
      <c r="SK30" s="333"/>
      <c r="SL30" s="333"/>
      <c r="SM30" s="333"/>
      <c r="SN30" s="333"/>
      <c r="SO30" s="333"/>
      <c r="SP30" s="333"/>
      <c r="SQ30" s="333"/>
      <c r="SR30" s="333"/>
      <c r="SS30" s="333"/>
      <c r="ST30" s="333"/>
      <c r="SU30" s="333"/>
      <c r="SV30" s="333"/>
      <c r="SW30" s="333"/>
      <c r="SX30" s="333"/>
      <c r="SY30" s="333"/>
      <c r="SZ30" s="333"/>
      <c r="TA30" s="333"/>
      <c r="TB30" s="333"/>
      <c r="TC30" s="333"/>
      <c r="TD30" s="333"/>
      <c r="TE30" s="333"/>
      <c r="TF30" s="333"/>
      <c r="TG30" s="333"/>
      <c r="TH30" s="333"/>
      <c r="TI30" s="333"/>
      <c r="TJ30" s="333"/>
      <c r="TK30" s="333"/>
      <c r="TL30" s="333"/>
      <c r="TM30" s="333"/>
      <c r="TN30" s="333"/>
      <c r="TO30" s="333"/>
      <c r="TP30" s="333"/>
      <c r="TQ30" s="333"/>
      <c r="TR30" s="333"/>
      <c r="TS30" s="333"/>
      <c r="TT30" s="333"/>
      <c r="TU30" s="333"/>
      <c r="TV30" s="333"/>
      <c r="TW30" s="333"/>
      <c r="TX30" s="333"/>
      <c r="TY30" s="333"/>
      <c r="TZ30" s="333"/>
      <c r="UA30" s="333"/>
      <c r="UB30" s="333"/>
      <c r="UC30" s="333"/>
      <c r="UD30" s="333"/>
      <c r="UE30" s="333"/>
      <c r="UF30" s="333"/>
      <c r="UG30" s="333"/>
      <c r="UH30" s="333"/>
      <c r="UI30" s="333"/>
      <c r="UJ30" s="333"/>
      <c r="UK30" s="333"/>
      <c r="UL30" s="333"/>
      <c r="UM30" s="333"/>
      <c r="UN30" s="333"/>
      <c r="UO30" s="333"/>
      <c r="UP30" s="333"/>
      <c r="UQ30" s="333"/>
      <c r="UR30" s="333"/>
      <c r="US30" s="333"/>
      <c r="UT30" s="333"/>
      <c r="UU30" s="333"/>
      <c r="UV30" s="333"/>
      <c r="UW30" s="333"/>
      <c r="UX30" s="333"/>
      <c r="UY30" s="333"/>
      <c r="UZ30" s="333"/>
      <c r="VA30" s="333"/>
      <c r="VB30" s="333"/>
      <c r="VC30" s="333"/>
      <c r="VD30" s="333"/>
      <c r="VE30" s="333"/>
      <c r="VF30" s="333"/>
      <c r="VG30" s="333"/>
      <c r="VH30" s="333"/>
      <c r="VI30" s="333"/>
      <c r="VJ30" s="333"/>
      <c r="VK30" s="333"/>
      <c r="VL30" s="333"/>
      <c r="VM30" s="333"/>
      <c r="VN30" s="333"/>
      <c r="VO30" s="333"/>
      <c r="VP30" s="333"/>
      <c r="VQ30" s="333"/>
      <c r="VR30" s="333"/>
      <c r="VS30" s="333"/>
      <c r="VT30" s="333"/>
      <c r="VU30" s="333"/>
      <c r="VV30" s="333"/>
      <c r="VW30" s="333"/>
      <c r="VX30" s="333"/>
      <c r="VY30" s="333"/>
      <c r="VZ30" s="333"/>
      <c r="WA30" s="333"/>
      <c r="WB30" s="333"/>
      <c r="WC30" s="333"/>
      <c r="WD30" s="333"/>
      <c r="WE30" s="333"/>
      <c r="WF30" s="333"/>
      <c r="WG30" s="333"/>
      <c r="WH30" s="333"/>
      <c r="WI30" s="333"/>
      <c r="WJ30" s="333"/>
      <c r="WK30" s="333"/>
      <c r="WL30" s="333"/>
      <c r="WM30" s="333"/>
      <c r="WN30" s="333"/>
      <c r="WO30" s="333"/>
      <c r="WP30" s="333"/>
      <c r="WQ30" s="333"/>
      <c r="WR30" s="333"/>
      <c r="WS30" s="333"/>
      <c r="WT30" s="333"/>
      <c r="WU30" s="333"/>
      <c r="WV30" s="333"/>
      <c r="WW30" s="333"/>
      <c r="WX30" s="333"/>
      <c r="WY30" s="333"/>
      <c r="WZ30" s="333"/>
      <c r="XA30" s="333"/>
      <c r="XB30" s="333"/>
      <c r="XC30" s="333"/>
      <c r="XD30" s="333"/>
      <c r="XE30" s="333"/>
      <c r="XF30" s="333"/>
      <c r="XG30" s="333"/>
      <c r="XH30" s="333"/>
      <c r="XI30" s="333"/>
      <c r="XJ30" s="333"/>
      <c r="XK30" s="333"/>
      <c r="XL30" s="333"/>
      <c r="XM30" s="333"/>
      <c r="XN30" s="333"/>
      <c r="XO30" s="333"/>
      <c r="XP30" s="333"/>
      <c r="XQ30" s="333"/>
      <c r="XR30" s="333"/>
      <c r="XS30" s="333"/>
      <c r="XT30" s="333"/>
      <c r="XU30" s="333"/>
      <c r="XV30" s="333"/>
      <c r="XW30" s="333"/>
      <c r="XX30" s="333"/>
      <c r="XY30" s="333"/>
      <c r="XZ30" s="333"/>
      <c r="YA30" s="333"/>
      <c r="YB30" s="333"/>
      <c r="YC30" s="333"/>
      <c r="YD30" s="333"/>
      <c r="YE30" s="333"/>
      <c r="YF30" s="333"/>
      <c r="YG30" s="333"/>
      <c r="YH30" s="333"/>
      <c r="YI30" s="333"/>
      <c r="YJ30" s="333"/>
      <c r="YK30" s="333"/>
      <c r="YL30" s="333"/>
      <c r="YM30" s="333"/>
      <c r="YN30" s="333"/>
      <c r="YO30" s="333"/>
      <c r="YP30" s="333"/>
      <c r="YQ30" s="333"/>
      <c r="YR30" s="333"/>
      <c r="YS30" s="333"/>
      <c r="YT30" s="333"/>
      <c r="YU30" s="333"/>
      <c r="YV30" s="333"/>
      <c r="YW30" s="333"/>
      <c r="YX30" s="333"/>
      <c r="YY30" s="333"/>
      <c r="YZ30" s="333"/>
      <c r="ZA30" s="333"/>
      <c r="ZB30" s="333"/>
      <c r="ZC30" s="333"/>
      <c r="ZD30" s="333"/>
      <c r="ZE30" s="333"/>
      <c r="ZF30" s="333"/>
      <c r="ZG30" s="333"/>
      <c r="ZH30" s="333"/>
      <c r="ZI30" s="333"/>
      <c r="ZJ30" s="333"/>
      <c r="ZK30" s="333"/>
      <c r="ZL30" s="333"/>
      <c r="ZM30" s="333"/>
      <c r="ZN30" s="333"/>
      <c r="ZO30" s="333"/>
      <c r="ZP30" s="333"/>
      <c r="ZQ30" s="333"/>
      <c r="ZR30" s="333"/>
      <c r="ZS30" s="333"/>
      <c r="ZT30" s="333"/>
      <c r="ZU30" s="333"/>
      <c r="ZV30" s="333"/>
      <c r="ZW30" s="333"/>
      <c r="ZX30" s="333"/>
      <c r="ZY30" s="333"/>
      <c r="ZZ30" s="333"/>
      <c r="AAA30" s="333"/>
      <c r="AAB30" s="333"/>
      <c r="AAC30" s="333"/>
      <c r="AAD30" s="333"/>
      <c r="AAE30" s="333"/>
      <c r="AAF30" s="333"/>
      <c r="AAG30" s="333"/>
      <c r="AAH30" s="333"/>
      <c r="AAI30" s="333"/>
      <c r="AAJ30" s="333"/>
      <c r="AAK30" s="333"/>
      <c r="AAL30" s="333"/>
      <c r="AAM30" s="333"/>
      <c r="AAN30" s="333"/>
      <c r="AAO30" s="333"/>
      <c r="AAP30" s="333"/>
      <c r="AAQ30" s="333"/>
      <c r="AAR30" s="333"/>
      <c r="AAS30" s="333"/>
      <c r="AAT30" s="333"/>
      <c r="AAU30" s="333"/>
      <c r="AAV30" s="333"/>
      <c r="AAW30" s="333"/>
      <c r="AAX30" s="333"/>
      <c r="AAY30" s="333"/>
      <c r="AAZ30" s="333"/>
      <c r="ABA30" s="333"/>
      <c r="ABB30" s="333"/>
      <c r="ABC30" s="333"/>
      <c r="ABD30" s="333"/>
      <c r="ABE30" s="333"/>
      <c r="ABF30" s="333"/>
      <c r="ABG30" s="333"/>
      <c r="ABH30" s="333"/>
      <c r="ABI30" s="333"/>
      <c r="ABJ30" s="333"/>
      <c r="ABK30" s="333"/>
      <c r="ABL30" s="333"/>
      <c r="ABM30" s="333"/>
      <c r="ABN30" s="333"/>
      <c r="ABO30" s="333"/>
      <c r="ABP30" s="333"/>
      <c r="ABQ30" s="333"/>
      <c r="ABR30" s="333"/>
      <c r="ABS30" s="333"/>
      <c r="ABT30" s="333"/>
      <c r="ABU30" s="333"/>
      <c r="ABV30" s="333"/>
      <c r="ABW30" s="333"/>
      <c r="ABX30" s="333"/>
      <c r="ABY30" s="333"/>
      <c r="ABZ30" s="333"/>
      <c r="ACA30" s="333"/>
      <c r="ACB30" s="333"/>
      <c r="ACC30" s="333"/>
      <c r="ACD30" s="333"/>
      <c r="ACE30" s="333"/>
      <c r="ACF30" s="333"/>
      <c r="ACG30" s="333"/>
      <c r="ACH30" s="333"/>
      <c r="ACI30" s="333"/>
      <c r="ACJ30" s="333"/>
      <c r="ACK30" s="333"/>
      <c r="ACL30" s="333"/>
      <c r="ACM30" s="333"/>
      <c r="ACN30" s="333"/>
      <c r="ACO30" s="333"/>
      <c r="ACP30" s="333"/>
      <c r="ACQ30" s="333"/>
      <c r="ACR30" s="333"/>
      <c r="ACS30" s="333"/>
      <c r="ACT30" s="333"/>
      <c r="ACU30" s="333"/>
      <c r="ACV30" s="333"/>
      <c r="ACW30" s="333"/>
      <c r="ACX30" s="333"/>
      <c r="ACY30" s="333"/>
      <c r="ACZ30" s="333"/>
      <c r="ADA30" s="333"/>
      <c r="ADB30" s="333"/>
      <c r="ADC30" s="333"/>
      <c r="ADD30" s="333"/>
      <c r="ADE30" s="333"/>
      <c r="ADF30" s="333"/>
      <c r="ADG30" s="333"/>
      <c r="ADH30" s="333"/>
      <c r="ADI30" s="333"/>
      <c r="ADJ30" s="333"/>
      <c r="ADK30" s="333"/>
      <c r="ADL30" s="333"/>
      <c r="ADM30" s="333"/>
      <c r="ADN30" s="333"/>
      <c r="ADO30" s="333"/>
      <c r="ADP30" s="333"/>
      <c r="ADQ30" s="333"/>
      <c r="ADR30" s="333"/>
      <c r="ADS30" s="333"/>
      <c r="ADT30" s="333"/>
      <c r="ADU30" s="333"/>
      <c r="ADV30" s="333"/>
      <c r="ADW30" s="333"/>
      <c r="ADX30" s="333"/>
      <c r="ADY30" s="333"/>
      <c r="ADZ30" s="333"/>
      <c r="AEA30" s="333"/>
      <c r="AEB30" s="333"/>
      <c r="AEC30" s="333"/>
      <c r="AED30" s="333"/>
      <c r="AEE30" s="333"/>
      <c r="AEF30" s="333"/>
      <c r="AEG30" s="333"/>
      <c r="AEH30" s="333"/>
      <c r="AEI30" s="333"/>
      <c r="AEJ30" s="333"/>
      <c r="AEK30" s="333"/>
      <c r="AEL30" s="333"/>
      <c r="AEM30" s="333"/>
      <c r="AEN30" s="333"/>
      <c r="AEO30" s="333"/>
      <c r="AEP30" s="333"/>
      <c r="AEQ30" s="333"/>
      <c r="AER30" s="333"/>
      <c r="AES30" s="333"/>
      <c r="AET30" s="333"/>
      <c r="AEU30" s="333"/>
      <c r="AEV30" s="333"/>
      <c r="AEW30" s="333"/>
      <c r="AEX30" s="333"/>
      <c r="AEY30" s="333"/>
      <c r="AEZ30" s="333"/>
      <c r="AFA30" s="333"/>
      <c r="AFB30" s="333"/>
      <c r="AFC30" s="333"/>
      <c r="AFD30" s="333"/>
      <c r="AFE30" s="333"/>
      <c r="AFF30" s="333"/>
      <c r="AFG30" s="333"/>
      <c r="AFH30" s="333"/>
      <c r="AFI30" s="333"/>
      <c r="AFJ30" s="333"/>
      <c r="AFK30" s="333"/>
      <c r="AFL30" s="333"/>
      <c r="AFM30" s="333"/>
      <c r="AFN30" s="333"/>
      <c r="AFO30" s="333"/>
      <c r="AFP30" s="333"/>
      <c r="AFQ30" s="333"/>
      <c r="AFR30" s="333"/>
      <c r="AFS30" s="333"/>
      <c r="AFT30" s="333"/>
      <c r="AFU30" s="333"/>
      <c r="AFV30" s="333"/>
      <c r="AFW30" s="333"/>
      <c r="AFX30" s="333"/>
      <c r="AFY30" s="333"/>
      <c r="AFZ30" s="333"/>
      <c r="AGA30" s="333"/>
      <c r="AGB30" s="333"/>
      <c r="AGC30" s="333"/>
      <c r="AGD30" s="333"/>
      <c r="AGE30" s="333"/>
      <c r="AGF30" s="333"/>
      <c r="AGG30" s="333"/>
      <c r="AGH30" s="333"/>
      <c r="AGI30" s="333"/>
      <c r="AGJ30" s="333"/>
      <c r="AGK30" s="333"/>
      <c r="AGL30" s="333"/>
      <c r="AGM30" s="333"/>
      <c r="AGN30" s="333"/>
      <c r="AGO30" s="333"/>
      <c r="AGP30" s="333"/>
      <c r="AGQ30" s="333"/>
      <c r="AGR30" s="333"/>
      <c r="AGS30" s="333"/>
      <c r="AGT30" s="333"/>
      <c r="AGU30" s="333"/>
      <c r="AGV30" s="333"/>
      <c r="AGW30" s="333"/>
      <c r="AGX30" s="333"/>
      <c r="AGY30" s="333"/>
      <c r="AGZ30" s="333"/>
      <c r="AHA30" s="333"/>
      <c r="AHB30" s="333"/>
      <c r="AHC30" s="333"/>
      <c r="AHD30" s="333"/>
      <c r="AHE30" s="333"/>
      <c r="AHF30" s="333"/>
      <c r="AHG30" s="333"/>
      <c r="AHH30" s="333"/>
      <c r="AHI30" s="333"/>
      <c r="AHJ30" s="333"/>
      <c r="AHK30" s="333"/>
      <c r="AHL30" s="333"/>
      <c r="AHM30" s="333"/>
      <c r="AHN30" s="333"/>
      <c r="AHO30" s="333"/>
      <c r="AHP30" s="333"/>
      <c r="AHQ30" s="333"/>
      <c r="AHR30" s="333"/>
      <c r="AHS30" s="333"/>
      <c r="AHT30" s="333"/>
      <c r="AHU30" s="333"/>
      <c r="AHV30" s="333"/>
      <c r="AHW30" s="333"/>
      <c r="AHX30" s="333"/>
      <c r="AHY30" s="333"/>
      <c r="AHZ30" s="333"/>
      <c r="AIA30" s="333"/>
      <c r="AIB30" s="333"/>
      <c r="AIC30" s="333"/>
      <c r="AID30" s="333"/>
      <c r="AIE30" s="333"/>
      <c r="AIF30" s="333"/>
      <c r="AIG30" s="333"/>
      <c r="AIH30" s="333"/>
      <c r="AII30" s="333"/>
      <c r="AIJ30" s="333"/>
      <c r="AIK30" s="333"/>
      <c r="AIL30" s="333"/>
      <c r="AIM30" s="333"/>
      <c r="AIN30" s="333"/>
      <c r="AIO30" s="333"/>
      <c r="AIP30" s="333"/>
      <c r="AIQ30" s="333"/>
      <c r="AIR30" s="333"/>
      <c r="AIS30" s="333"/>
      <c r="AIT30" s="333"/>
      <c r="AIU30" s="333"/>
      <c r="AIV30" s="333"/>
      <c r="AIW30" s="333"/>
      <c r="AIX30" s="333"/>
      <c r="AIY30" s="333"/>
      <c r="AIZ30" s="333"/>
      <c r="AJA30" s="333"/>
      <c r="AJB30" s="333"/>
      <c r="AJC30" s="333"/>
      <c r="AJD30" s="333"/>
      <c r="AJE30" s="333"/>
      <c r="AJF30" s="333"/>
      <c r="AJG30" s="333"/>
      <c r="AJH30" s="333"/>
      <c r="AJI30" s="333"/>
      <c r="AJJ30" s="333"/>
      <c r="AJK30" s="333"/>
      <c r="AJL30" s="333"/>
      <c r="AJM30" s="333"/>
      <c r="AJN30" s="333"/>
      <c r="AJO30" s="333"/>
      <c r="AJP30" s="333"/>
      <c r="AJQ30" s="333"/>
      <c r="AJR30" s="333"/>
      <c r="AJS30" s="333"/>
      <c r="AJT30" s="333"/>
      <c r="AJU30" s="333"/>
      <c r="AJV30" s="333"/>
      <c r="AJW30" s="333"/>
      <c r="AJX30" s="333"/>
      <c r="AJY30" s="333"/>
      <c r="AJZ30" s="333"/>
      <c r="AKA30" s="333"/>
      <c r="AKB30" s="333"/>
      <c r="AKC30" s="333"/>
      <c r="AKD30" s="333"/>
      <c r="AKE30" s="333"/>
      <c r="AKF30" s="333"/>
      <c r="AKG30" s="333"/>
      <c r="AKH30" s="333"/>
      <c r="AKI30" s="333"/>
      <c r="AKJ30" s="333"/>
      <c r="AKK30" s="333"/>
      <c r="AKL30" s="333"/>
      <c r="AKM30" s="333"/>
      <c r="AKN30" s="333"/>
      <c r="AKO30" s="333"/>
      <c r="AKP30" s="333"/>
      <c r="AKQ30" s="333"/>
      <c r="AKR30" s="333"/>
      <c r="AKS30" s="333"/>
      <c r="AKT30" s="333"/>
      <c r="AKU30" s="333"/>
      <c r="AKV30" s="333"/>
      <c r="AKW30" s="333"/>
      <c r="AKX30" s="333"/>
      <c r="AKY30" s="333"/>
      <c r="AKZ30" s="333"/>
      <c r="ALA30" s="333"/>
      <c r="ALB30" s="333"/>
      <c r="ALC30" s="333"/>
      <c r="ALD30" s="333"/>
      <c r="ALE30" s="333"/>
      <c r="ALF30" s="333"/>
      <c r="ALG30" s="333"/>
      <c r="ALH30" s="333"/>
      <c r="ALI30" s="333"/>
      <c r="ALJ30" s="333"/>
      <c r="ALK30" s="333"/>
      <c r="ALL30" s="333"/>
      <c r="ALM30" s="333"/>
      <c r="ALN30" s="333"/>
      <c r="ALO30" s="333"/>
      <c r="ALP30" s="333"/>
      <c r="ALQ30" s="333"/>
      <c r="ALR30" s="333"/>
      <c r="ALS30" s="333"/>
      <c r="ALT30" s="333"/>
      <c r="ALU30" s="333"/>
      <c r="ALV30" s="333"/>
      <c r="ALW30" s="333"/>
      <c r="ALX30" s="333"/>
      <c r="ALY30" s="333"/>
      <c r="ALZ30" s="333"/>
      <c r="AMA30" s="333"/>
      <c r="AMB30" s="333"/>
      <c r="AMC30" s="333"/>
      <c r="AMD30" s="333"/>
      <c r="AME30" s="333"/>
      <c r="AMF30" s="333"/>
      <c r="AMG30" s="333"/>
      <c r="AMH30" s="333"/>
      <c r="AMI30" s="333"/>
      <c r="AMJ30" s="333"/>
      <c r="AMK30" s="333"/>
      <c r="AML30" s="333"/>
      <c r="AMM30" s="333"/>
      <c r="AMN30" s="333"/>
      <c r="AMO30" s="333"/>
    </row>
    <row r="31" spans="1:1029" s="223" customFormat="1" x14ac:dyDescent="0.25">
      <c r="A31" s="88">
        <v>45643</v>
      </c>
      <c r="B31" s="94" t="s">
        <v>161</v>
      </c>
      <c r="C31" s="480">
        <v>65906</v>
      </c>
      <c r="D31" s="502">
        <v>286464624</v>
      </c>
      <c r="E31" s="503">
        <v>2338.8000000000002</v>
      </c>
      <c r="F31" s="504"/>
      <c r="G31" s="541"/>
      <c r="H31" s="542"/>
      <c r="I31" s="517"/>
      <c r="J31" s="517"/>
      <c r="K31" s="543"/>
      <c r="L31" s="519">
        <v>890.4</v>
      </c>
      <c r="M31" s="520"/>
      <c r="N31" s="517"/>
      <c r="O31" s="517">
        <v>742</v>
      </c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8"/>
      <c r="AD31" s="130">
        <v>148.4</v>
      </c>
      <c r="AE31" s="97" t="s">
        <v>63</v>
      </c>
      <c r="AF31" s="80">
        <f t="shared" si="3"/>
        <v>0</v>
      </c>
      <c r="AG31" s="333"/>
      <c r="AH31" s="129">
        <v>742</v>
      </c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  <c r="CV31" s="333"/>
      <c r="CW31" s="333"/>
      <c r="CX31" s="333"/>
      <c r="CY31" s="333"/>
      <c r="CZ31" s="333"/>
      <c r="DA31" s="333"/>
      <c r="DB31" s="333"/>
      <c r="DC31" s="333"/>
      <c r="DD31" s="333"/>
      <c r="DE31" s="333"/>
      <c r="DF31" s="333"/>
      <c r="DG31" s="333"/>
      <c r="DH31" s="333"/>
      <c r="DI31" s="333"/>
      <c r="DJ31" s="333"/>
      <c r="DK31" s="333"/>
      <c r="DL31" s="333"/>
      <c r="DM31" s="333"/>
      <c r="DN31" s="333"/>
      <c r="DO31" s="333"/>
      <c r="DP31" s="333"/>
      <c r="DQ31" s="333"/>
      <c r="DR31" s="333"/>
      <c r="DS31" s="333"/>
      <c r="DT31" s="333"/>
      <c r="DU31" s="333"/>
      <c r="DV31" s="333"/>
      <c r="DW31" s="333"/>
      <c r="DX31" s="333"/>
      <c r="DY31" s="333"/>
      <c r="DZ31" s="333"/>
      <c r="EA31" s="333"/>
      <c r="EB31" s="333"/>
      <c r="EC31" s="333"/>
      <c r="ED31" s="333"/>
      <c r="EE31" s="333"/>
      <c r="EF31" s="333"/>
      <c r="EG31" s="333"/>
      <c r="EH31" s="333"/>
      <c r="EI31" s="333"/>
      <c r="EJ31" s="333"/>
      <c r="EK31" s="333"/>
      <c r="EL31" s="333"/>
      <c r="EM31" s="333"/>
      <c r="EN31" s="333"/>
      <c r="EO31" s="333"/>
      <c r="EP31" s="333"/>
      <c r="EQ31" s="333"/>
      <c r="ER31" s="333"/>
      <c r="ES31" s="333"/>
      <c r="ET31" s="333"/>
      <c r="EU31" s="333"/>
      <c r="EV31" s="333"/>
      <c r="EW31" s="333"/>
      <c r="EX31" s="333"/>
      <c r="EY31" s="333"/>
      <c r="EZ31" s="333"/>
      <c r="FA31" s="333"/>
      <c r="FB31" s="333"/>
      <c r="FC31" s="333"/>
      <c r="FD31" s="333"/>
      <c r="FE31" s="333"/>
      <c r="FF31" s="333"/>
      <c r="FG31" s="333"/>
      <c r="FH31" s="333"/>
      <c r="FI31" s="333"/>
      <c r="FJ31" s="333"/>
      <c r="FK31" s="333"/>
      <c r="FL31" s="333"/>
      <c r="FM31" s="333"/>
      <c r="FN31" s="333"/>
      <c r="FO31" s="333"/>
      <c r="FP31" s="333"/>
      <c r="FQ31" s="333"/>
      <c r="FR31" s="333"/>
      <c r="FS31" s="333"/>
      <c r="FT31" s="333"/>
      <c r="FU31" s="333"/>
      <c r="FV31" s="333"/>
      <c r="FW31" s="333"/>
      <c r="FX31" s="333"/>
      <c r="FY31" s="333"/>
      <c r="FZ31" s="333"/>
      <c r="GA31" s="333"/>
      <c r="GB31" s="333"/>
      <c r="GC31" s="333"/>
      <c r="GD31" s="333"/>
      <c r="GE31" s="333"/>
      <c r="GF31" s="333"/>
      <c r="GG31" s="333"/>
      <c r="GH31" s="333"/>
      <c r="GI31" s="333"/>
      <c r="GJ31" s="333"/>
      <c r="GK31" s="333"/>
      <c r="GL31" s="333"/>
      <c r="GM31" s="333"/>
      <c r="GN31" s="333"/>
      <c r="GO31" s="333"/>
      <c r="GP31" s="333"/>
      <c r="GQ31" s="333"/>
      <c r="GR31" s="333"/>
      <c r="GS31" s="333"/>
      <c r="GT31" s="333"/>
      <c r="GU31" s="333"/>
      <c r="GV31" s="333"/>
      <c r="GW31" s="333"/>
      <c r="GX31" s="333"/>
      <c r="GY31" s="333"/>
      <c r="GZ31" s="333"/>
      <c r="HA31" s="333"/>
      <c r="HB31" s="333"/>
      <c r="HC31" s="333"/>
      <c r="HD31" s="333"/>
      <c r="HE31" s="333"/>
      <c r="HF31" s="333"/>
      <c r="HG31" s="333"/>
      <c r="HH31" s="333"/>
      <c r="HI31" s="333"/>
      <c r="HJ31" s="333"/>
      <c r="HK31" s="333"/>
      <c r="HL31" s="333"/>
      <c r="HM31" s="333"/>
      <c r="HN31" s="333"/>
      <c r="HO31" s="333"/>
      <c r="HP31" s="333"/>
      <c r="HQ31" s="333"/>
      <c r="HR31" s="333"/>
      <c r="HS31" s="333"/>
      <c r="HT31" s="333"/>
      <c r="HU31" s="333"/>
      <c r="HV31" s="333"/>
      <c r="HW31" s="333"/>
      <c r="HX31" s="333"/>
      <c r="HY31" s="333"/>
      <c r="HZ31" s="333"/>
      <c r="IA31" s="333"/>
      <c r="IB31" s="333"/>
      <c r="IC31" s="333"/>
      <c r="ID31" s="333"/>
      <c r="IE31" s="333"/>
      <c r="IF31" s="333"/>
      <c r="IG31" s="333"/>
      <c r="IH31" s="333"/>
      <c r="II31" s="333"/>
      <c r="IJ31" s="333"/>
      <c r="IK31" s="333"/>
      <c r="IL31" s="333"/>
      <c r="IM31" s="333"/>
      <c r="IN31" s="333"/>
      <c r="IO31" s="333"/>
      <c r="IP31" s="333"/>
      <c r="IQ31" s="333"/>
      <c r="IR31" s="333"/>
      <c r="IS31" s="333"/>
      <c r="IT31" s="333"/>
      <c r="IU31" s="333"/>
      <c r="IV31" s="333"/>
      <c r="IW31" s="333"/>
      <c r="IX31" s="333"/>
      <c r="IY31" s="333"/>
      <c r="IZ31" s="333"/>
      <c r="JA31" s="333"/>
      <c r="JB31" s="333"/>
      <c r="JC31" s="333"/>
      <c r="JD31" s="333"/>
      <c r="JE31" s="333"/>
      <c r="JF31" s="333"/>
      <c r="JG31" s="333"/>
      <c r="JH31" s="333"/>
      <c r="JI31" s="333"/>
      <c r="JJ31" s="333"/>
      <c r="JK31" s="333"/>
      <c r="JL31" s="333"/>
      <c r="JM31" s="333"/>
      <c r="JN31" s="333"/>
      <c r="JO31" s="333"/>
      <c r="JP31" s="333"/>
      <c r="JQ31" s="333"/>
      <c r="JR31" s="333"/>
      <c r="JS31" s="333"/>
      <c r="JT31" s="333"/>
      <c r="JU31" s="333"/>
      <c r="JV31" s="333"/>
      <c r="JW31" s="333"/>
      <c r="JX31" s="333"/>
      <c r="JY31" s="333"/>
      <c r="JZ31" s="333"/>
      <c r="KA31" s="333"/>
      <c r="KB31" s="333"/>
      <c r="KC31" s="333"/>
      <c r="KD31" s="333"/>
      <c r="KE31" s="333"/>
      <c r="KF31" s="333"/>
      <c r="KG31" s="333"/>
      <c r="KH31" s="333"/>
      <c r="KI31" s="333"/>
      <c r="KJ31" s="333"/>
      <c r="KK31" s="333"/>
      <c r="KL31" s="333"/>
      <c r="KM31" s="333"/>
      <c r="KN31" s="333"/>
      <c r="KO31" s="333"/>
      <c r="KP31" s="333"/>
      <c r="KQ31" s="333"/>
      <c r="KR31" s="333"/>
      <c r="KS31" s="333"/>
      <c r="KT31" s="333"/>
      <c r="KU31" s="333"/>
      <c r="KV31" s="333"/>
      <c r="KW31" s="333"/>
      <c r="KX31" s="333"/>
      <c r="KY31" s="333"/>
      <c r="KZ31" s="333"/>
      <c r="LA31" s="333"/>
      <c r="LB31" s="333"/>
      <c r="LC31" s="333"/>
      <c r="LD31" s="333"/>
      <c r="LE31" s="333"/>
      <c r="LF31" s="333"/>
      <c r="LG31" s="333"/>
      <c r="LH31" s="333"/>
      <c r="LI31" s="333"/>
      <c r="LJ31" s="333"/>
      <c r="LK31" s="333"/>
      <c r="LL31" s="333"/>
      <c r="LM31" s="333"/>
      <c r="LN31" s="333"/>
      <c r="LO31" s="333"/>
      <c r="LP31" s="333"/>
      <c r="LQ31" s="333"/>
      <c r="LR31" s="333"/>
      <c r="LS31" s="333"/>
      <c r="LT31" s="333"/>
      <c r="LU31" s="333"/>
      <c r="LV31" s="333"/>
      <c r="LW31" s="333"/>
      <c r="LX31" s="333"/>
      <c r="LY31" s="333"/>
      <c r="LZ31" s="333"/>
      <c r="MA31" s="333"/>
      <c r="MB31" s="333"/>
      <c r="MC31" s="333"/>
      <c r="MD31" s="333"/>
      <c r="ME31" s="333"/>
      <c r="MF31" s="333"/>
      <c r="MG31" s="333"/>
      <c r="MH31" s="333"/>
      <c r="MI31" s="333"/>
      <c r="MJ31" s="333"/>
      <c r="MK31" s="333"/>
      <c r="ML31" s="333"/>
      <c r="MM31" s="333"/>
      <c r="MN31" s="333"/>
      <c r="MO31" s="333"/>
      <c r="MP31" s="333"/>
      <c r="MQ31" s="333"/>
      <c r="MR31" s="333"/>
      <c r="MS31" s="333"/>
      <c r="MT31" s="333"/>
      <c r="MU31" s="333"/>
      <c r="MV31" s="333"/>
      <c r="MW31" s="333"/>
      <c r="MX31" s="333"/>
      <c r="MY31" s="333"/>
      <c r="MZ31" s="333"/>
      <c r="NA31" s="333"/>
      <c r="NB31" s="333"/>
      <c r="NC31" s="333"/>
      <c r="ND31" s="333"/>
      <c r="NE31" s="333"/>
      <c r="NF31" s="333"/>
      <c r="NG31" s="333"/>
      <c r="NH31" s="333"/>
      <c r="NI31" s="333"/>
      <c r="NJ31" s="333"/>
      <c r="NK31" s="333"/>
      <c r="NL31" s="333"/>
      <c r="NM31" s="333"/>
      <c r="NN31" s="333"/>
      <c r="NO31" s="333"/>
      <c r="NP31" s="333"/>
      <c r="NQ31" s="333"/>
      <c r="NR31" s="333"/>
      <c r="NS31" s="333"/>
      <c r="NT31" s="333"/>
      <c r="NU31" s="333"/>
      <c r="NV31" s="333"/>
      <c r="NW31" s="333"/>
      <c r="NX31" s="333"/>
      <c r="NY31" s="333"/>
      <c r="NZ31" s="333"/>
      <c r="OA31" s="333"/>
      <c r="OB31" s="333"/>
      <c r="OC31" s="333"/>
      <c r="OD31" s="333"/>
      <c r="OE31" s="333"/>
      <c r="OF31" s="333"/>
      <c r="OG31" s="333"/>
      <c r="OH31" s="333"/>
      <c r="OI31" s="333"/>
      <c r="OJ31" s="333"/>
      <c r="OK31" s="333"/>
      <c r="OL31" s="333"/>
      <c r="OM31" s="333"/>
      <c r="ON31" s="333"/>
      <c r="OO31" s="333"/>
      <c r="OP31" s="333"/>
      <c r="OQ31" s="333"/>
      <c r="OR31" s="333"/>
      <c r="OS31" s="333"/>
      <c r="OT31" s="333"/>
      <c r="OU31" s="333"/>
      <c r="OV31" s="333"/>
      <c r="OW31" s="333"/>
      <c r="OX31" s="333"/>
      <c r="OY31" s="333"/>
      <c r="OZ31" s="333"/>
      <c r="PA31" s="333"/>
      <c r="PB31" s="333"/>
      <c r="PC31" s="333"/>
      <c r="PD31" s="333"/>
      <c r="PE31" s="333"/>
      <c r="PF31" s="333"/>
      <c r="PG31" s="333"/>
      <c r="PH31" s="333"/>
      <c r="PI31" s="333"/>
      <c r="PJ31" s="333"/>
      <c r="PK31" s="333"/>
      <c r="PL31" s="333"/>
      <c r="PM31" s="333"/>
      <c r="PN31" s="333"/>
      <c r="PO31" s="333"/>
      <c r="PP31" s="333"/>
      <c r="PQ31" s="333"/>
      <c r="PR31" s="333"/>
      <c r="PS31" s="333"/>
      <c r="PT31" s="333"/>
      <c r="PU31" s="333"/>
      <c r="PV31" s="333"/>
      <c r="PW31" s="333"/>
      <c r="PX31" s="333"/>
      <c r="PY31" s="333"/>
      <c r="PZ31" s="333"/>
      <c r="QA31" s="333"/>
      <c r="QB31" s="333"/>
      <c r="QC31" s="333"/>
      <c r="QD31" s="333"/>
      <c r="QE31" s="333"/>
      <c r="QF31" s="333"/>
      <c r="QG31" s="333"/>
      <c r="QH31" s="333"/>
      <c r="QI31" s="333"/>
      <c r="QJ31" s="333"/>
      <c r="QK31" s="333"/>
      <c r="QL31" s="333"/>
      <c r="QM31" s="333"/>
      <c r="QN31" s="333"/>
      <c r="QO31" s="333"/>
      <c r="QP31" s="333"/>
      <c r="QQ31" s="333"/>
      <c r="QR31" s="333"/>
      <c r="QS31" s="333"/>
      <c r="QT31" s="333"/>
      <c r="QU31" s="333"/>
      <c r="QV31" s="333"/>
      <c r="QW31" s="333"/>
      <c r="QX31" s="333"/>
      <c r="QY31" s="333"/>
      <c r="QZ31" s="333"/>
      <c r="RA31" s="333"/>
      <c r="RB31" s="333"/>
      <c r="RC31" s="333"/>
      <c r="RD31" s="333"/>
      <c r="RE31" s="333"/>
      <c r="RF31" s="333"/>
      <c r="RG31" s="333"/>
      <c r="RH31" s="333"/>
      <c r="RI31" s="333"/>
      <c r="RJ31" s="333"/>
      <c r="RK31" s="333"/>
      <c r="RL31" s="333"/>
      <c r="RM31" s="333"/>
      <c r="RN31" s="333"/>
      <c r="RO31" s="333"/>
      <c r="RP31" s="333"/>
      <c r="RQ31" s="333"/>
      <c r="RR31" s="333"/>
      <c r="RS31" s="333"/>
      <c r="RT31" s="333"/>
      <c r="RU31" s="333"/>
      <c r="RV31" s="333"/>
      <c r="RW31" s="333"/>
      <c r="RX31" s="333"/>
      <c r="RY31" s="333"/>
      <c r="RZ31" s="333"/>
      <c r="SA31" s="333"/>
      <c r="SB31" s="333"/>
      <c r="SC31" s="333"/>
      <c r="SD31" s="333"/>
      <c r="SE31" s="333"/>
      <c r="SF31" s="333"/>
      <c r="SG31" s="333"/>
      <c r="SH31" s="333"/>
      <c r="SI31" s="333"/>
      <c r="SJ31" s="333"/>
      <c r="SK31" s="333"/>
      <c r="SL31" s="333"/>
      <c r="SM31" s="333"/>
      <c r="SN31" s="333"/>
      <c r="SO31" s="333"/>
      <c r="SP31" s="333"/>
      <c r="SQ31" s="333"/>
      <c r="SR31" s="333"/>
      <c r="SS31" s="333"/>
      <c r="ST31" s="333"/>
      <c r="SU31" s="333"/>
      <c r="SV31" s="333"/>
      <c r="SW31" s="333"/>
      <c r="SX31" s="333"/>
      <c r="SY31" s="333"/>
      <c r="SZ31" s="333"/>
      <c r="TA31" s="333"/>
      <c r="TB31" s="333"/>
      <c r="TC31" s="333"/>
      <c r="TD31" s="333"/>
      <c r="TE31" s="333"/>
      <c r="TF31" s="333"/>
      <c r="TG31" s="333"/>
      <c r="TH31" s="333"/>
      <c r="TI31" s="333"/>
      <c r="TJ31" s="333"/>
      <c r="TK31" s="333"/>
      <c r="TL31" s="333"/>
      <c r="TM31" s="333"/>
      <c r="TN31" s="333"/>
      <c r="TO31" s="333"/>
      <c r="TP31" s="333"/>
      <c r="TQ31" s="333"/>
      <c r="TR31" s="333"/>
      <c r="TS31" s="333"/>
      <c r="TT31" s="333"/>
      <c r="TU31" s="333"/>
      <c r="TV31" s="333"/>
      <c r="TW31" s="333"/>
      <c r="TX31" s="333"/>
      <c r="TY31" s="333"/>
      <c r="TZ31" s="333"/>
      <c r="UA31" s="333"/>
      <c r="UB31" s="333"/>
      <c r="UC31" s="333"/>
      <c r="UD31" s="333"/>
      <c r="UE31" s="333"/>
      <c r="UF31" s="333"/>
      <c r="UG31" s="333"/>
      <c r="UH31" s="333"/>
      <c r="UI31" s="333"/>
      <c r="UJ31" s="333"/>
      <c r="UK31" s="333"/>
      <c r="UL31" s="333"/>
      <c r="UM31" s="333"/>
      <c r="UN31" s="333"/>
      <c r="UO31" s="333"/>
      <c r="UP31" s="333"/>
      <c r="UQ31" s="333"/>
      <c r="UR31" s="333"/>
      <c r="US31" s="333"/>
      <c r="UT31" s="333"/>
      <c r="UU31" s="333"/>
      <c r="UV31" s="333"/>
      <c r="UW31" s="333"/>
      <c r="UX31" s="333"/>
      <c r="UY31" s="333"/>
      <c r="UZ31" s="333"/>
      <c r="VA31" s="333"/>
      <c r="VB31" s="333"/>
      <c r="VC31" s="333"/>
      <c r="VD31" s="333"/>
      <c r="VE31" s="333"/>
      <c r="VF31" s="333"/>
      <c r="VG31" s="333"/>
      <c r="VH31" s="333"/>
      <c r="VI31" s="333"/>
      <c r="VJ31" s="333"/>
      <c r="VK31" s="333"/>
      <c r="VL31" s="333"/>
      <c r="VM31" s="333"/>
      <c r="VN31" s="333"/>
      <c r="VO31" s="333"/>
      <c r="VP31" s="333"/>
      <c r="VQ31" s="333"/>
      <c r="VR31" s="333"/>
      <c r="VS31" s="333"/>
      <c r="VT31" s="333"/>
      <c r="VU31" s="333"/>
      <c r="VV31" s="333"/>
      <c r="VW31" s="333"/>
      <c r="VX31" s="333"/>
      <c r="VY31" s="333"/>
      <c r="VZ31" s="333"/>
      <c r="WA31" s="333"/>
      <c r="WB31" s="333"/>
      <c r="WC31" s="333"/>
      <c r="WD31" s="333"/>
      <c r="WE31" s="333"/>
      <c r="WF31" s="333"/>
      <c r="WG31" s="333"/>
      <c r="WH31" s="333"/>
      <c r="WI31" s="333"/>
      <c r="WJ31" s="333"/>
      <c r="WK31" s="333"/>
      <c r="WL31" s="333"/>
      <c r="WM31" s="333"/>
      <c r="WN31" s="333"/>
      <c r="WO31" s="333"/>
      <c r="WP31" s="333"/>
      <c r="WQ31" s="333"/>
      <c r="WR31" s="333"/>
      <c r="WS31" s="333"/>
      <c r="WT31" s="333"/>
      <c r="WU31" s="333"/>
      <c r="WV31" s="333"/>
      <c r="WW31" s="333"/>
      <c r="WX31" s="333"/>
      <c r="WY31" s="333"/>
      <c r="WZ31" s="333"/>
      <c r="XA31" s="333"/>
      <c r="XB31" s="333"/>
      <c r="XC31" s="333"/>
      <c r="XD31" s="333"/>
      <c r="XE31" s="333"/>
      <c r="XF31" s="333"/>
      <c r="XG31" s="333"/>
      <c r="XH31" s="333"/>
      <c r="XI31" s="333"/>
      <c r="XJ31" s="333"/>
      <c r="XK31" s="333"/>
      <c r="XL31" s="333"/>
      <c r="XM31" s="333"/>
      <c r="XN31" s="333"/>
      <c r="XO31" s="333"/>
      <c r="XP31" s="333"/>
      <c r="XQ31" s="333"/>
      <c r="XR31" s="333"/>
      <c r="XS31" s="333"/>
      <c r="XT31" s="333"/>
      <c r="XU31" s="333"/>
      <c r="XV31" s="333"/>
      <c r="XW31" s="333"/>
      <c r="XX31" s="333"/>
      <c r="XY31" s="333"/>
      <c r="XZ31" s="333"/>
      <c r="YA31" s="333"/>
      <c r="YB31" s="333"/>
      <c r="YC31" s="333"/>
      <c r="YD31" s="333"/>
      <c r="YE31" s="333"/>
      <c r="YF31" s="333"/>
      <c r="YG31" s="333"/>
      <c r="YH31" s="333"/>
      <c r="YI31" s="333"/>
      <c r="YJ31" s="333"/>
      <c r="YK31" s="333"/>
      <c r="YL31" s="333"/>
      <c r="YM31" s="333"/>
      <c r="YN31" s="333"/>
      <c r="YO31" s="333"/>
      <c r="YP31" s="333"/>
      <c r="YQ31" s="333"/>
      <c r="YR31" s="333"/>
      <c r="YS31" s="333"/>
      <c r="YT31" s="333"/>
      <c r="YU31" s="333"/>
      <c r="YV31" s="333"/>
      <c r="YW31" s="333"/>
      <c r="YX31" s="333"/>
      <c r="YY31" s="333"/>
      <c r="YZ31" s="333"/>
      <c r="ZA31" s="333"/>
      <c r="ZB31" s="333"/>
      <c r="ZC31" s="333"/>
      <c r="ZD31" s="333"/>
      <c r="ZE31" s="333"/>
      <c r="ZF31" s="333"/>
      <c r="ZG31" s="333"/>
      <c r="ZH31" s="333"/>
      <c r="ZI31" s="333"/>
      <c r="ZJ31" s="333"/>
      <c r="ZK31" s="333"/>
      <c r="ZL31" s="333"/>
      <c r="ZM31" s="333"/>
      <c r="ZN31" s="333"/>
      <c r="ZO31" s="333"/>
      <c r="ZP31" s="333"/>
      <c r="ZQ31" s="333"/>
      <c r="ZR31" s="333"/>
      <c r="ZS31" s="333"/>
      <c r="ZT31" s="333"/>
      <c r="ZU31" s="333"/>
      <c r="ZV31" s="333"/>
      <c r="ZW31" s="333"/>
      <c r="ZX31" s="333"/>
      <c r="ZY31" s="333"/>
      <c r="ZZ31" s="333"/>
      <c r="AAA31" s="333"/>
      <c r="AAB31" s="333"/>
      <c r="AAC31" s="333"/>
      <c r="AAD31" s="333"/>
      <c r="AAE31" s="333"/>
      <c r="AAF31" s="333"/>
      <c r="AAG31" s="333"/>
      <c r="AAH31" s="333"/>
      <c r="AAI31" s="333"/>
      <c r="AAJ31" s="333"/>
      <c r="AAK31" s="333"/>
      <c r="AAL31" s="333"/>
      <c r="AAM31" s="333"/>
      <c r="AAN31" s="333"/>
      <c r="AAO31" s="333"/>
      <c r="AAP31" s="333"/>
      <c r="AAQ31" s="333"/>
      <c r="AAR31" s="333"/>
      <c r="AAS31" s="333"/>
      <c r="AAT31" s="333"/>
      <c r="AAU31" s="333"/>
      <c r="AAV31" s="333"/>
      <c r="AAW31" s="333"/>
      <c r="AAX31" s="333"/>
      <c r="AAY31" s="333"/>
      <c r="AAZ31" s="333"/>
      <c r="ABA31" s="333"/>
      <c r="ABB31" s="333"/>
      <c r="ABC31" s="333"/>
      <c r="ABD31" s="333"/>
      <c r="ABE31" s="333"/>
      <c r="ABF31" s="333"/>
      <c r="ABG31" s="333"/>
      <c r="ABH31" s="333"/>
      <c r="ABI31" s="333"/>
      <c r="ABJ31" s="333"/>
      <c r="ABK31" s="333"/>
      <c r="ABL31" s="333"/>
      <c r="ABM31" s="333"/>
      <c r="ABN31" s="333"/>
      <c r="ABO31" s="333"/>
      <c r="ABP31" s="333"/>
      <c r="ABQ31" s="333"/>
      <c r="ABR31" s="333"/>
      <c r="ABS31" s="333"/>
      <c r="ABT31" s="333"/>
      <c r="ABU31" s="333"/>
      <c r="ABV31" s="333"/>
      <c r="ABW31" s="333"/>
      <c r="ABX31" s="333"/>
      <c r="ABY31" s="333"/>
      <c r="ABZ31" s="333"/>
      <c r="ACA31" s="333"/>
      <c r="ACB31" s="333"/>
      <c r="ACC31" s="333"/>
      <c r="ACD31" s="333"/>
      <c r="ACE31" s="333"/>
      <c r="ACF31" s="333"/>
      <c r="ACG31" s="333"/>
      <c r="ACH31" s="333"/>
      <c r="ACI31" s="333"/>
      <c r="ACJ31" s="333"/>
      <c r="ACK31" s="333"/>
      <c r="ACL31" s="333"/>
      <c r="ACM31" s="333"/>
      <c r="ACN31" s="333"/>
      <c r="ACO31" s="333"/>
      <c r="ACP31" s="333"/>
      <c r="ACQ31" s="333"/>
      <c r="ACR31" s="333"/>
      <c r="ACS31" s="333"/>
      <c r="ACT31" s="333"/>
      <c r="ACU31" s="333"/>
      <c r="ACV31" s="333"/>
      <c r="ACW31" s="333"/>
      <c r="ACX31" s="333"/>
      <c r="ACY31" s="333"/>
      <c r="ACZ31" s="333"/>
      <c r="ADA31" s="333"/>
      <c r="ADB31" s="333"/>
      <c r="ADC31" s="333"/>
      <c r="ADD31" s="333"/>
      <c r="ADE31" s="333"/>
      <c r="ADF31" s="333"/>
      <c r="ADG31" s="333"/>
      <c r="ADH31" s="333"/>
      <c r="ADI31" s="333"/>
      <c r="ADJ31" s="333"/>
      <c r="ADK31" s="333"/>
      <c r="ADL31" s="333"/>
      <c r="ADM31" s="333"/>
      <c r="ADN31" s="333"/>
      <c r="ADO31" s="333"/>
      <c r="ADP31" s="333"/>
      <c r="ADQ31" s="333"/>
      <c r="ADR31" s="333"/>
      <c r="ADS31" s="333"/>
      <c r="ADT31" s="333"/>
      <c r="ADU31" s="333"/>
      <c r="ADV31" s="333"/>
      <c r="ADW31" s="333"/>
      <c r="ADX31" s="333"/>
      <c r="ADY31" s="333"/>
      <c r="ADZ31" s="333"/>
      <c r="AEA31" s="333"/>
      <c r="AEB31" s="333"/>
      <c r="AEC31" s="333"/>
      <c r="AED31" s="333"/>
      <c r="AEE31" s="333"/>
      <c r="AEF31" s="333"/>
      <c r="AEG31" s="333"/>
      <c r="AEH31" s="333"/>
      <c r="AEI31" s="333"/>
      <c r="AEJ31" s="333"/>
      <c r="AEK31" s="333"/>
      <c r="AEL31" s="333"/>
      <c r="AEM31" s="333"/>
      <c r="AEN31" s="333"/>
      <c r="AEO31" s="333"/>
      <c r="AEP31" s="333"/>
      <c r="AEQ31" s="333"/>
      <c r="AER31" s="333"/>
      <c r="AES31" s="333"/>
      <c r="AET31" s="333"/>
      <c r="AEU31" s="333"/>
      <c r="AEV31" s="333"/>
      <c r="AEW31" s="333"/>
      <c r="AEX31" s="333"/>
      <c r="AEY31" s="333"/>
      <c r="AEZ31" s="333"/>
      <c r="AFA31" s="333"/>
      <c r="AFB31" s="333"/>
      <c r="AFC31" s="333"/>
      <c r="AFD31" s="333"/>
      <c r="AFE31" s="333"/>
      <c r="AFF31" s="333"/>
      <c r="AFG31" s="333"/>
      <c r="AFH31" s="333"/>
      <c r="AFI31" s="333"/>
      <c r="AFJ31" s="333"/>
      <c r="AFK31" s="333"/>
      <c r="AFL31" s="333"/>
      <c r="AFM31" s="333"/>
      <c r="AFN31" s="333"/>
      <c r="AFO31" s="333"/>
      <c r="AFP31" s="333"/>
      <c r="AFQ31" s="333"/>
      <c r="AFR31" s="333"/>
      <c r="AFS31" s="333"/>
      <c r="AFT31" s="333"/>
      <c r="AFU31" s="333"/>
      <c r="AFV31" s="333"/>
      <c r="AFW31" s="333"/>
      <c r="AFX31" s="333"/>
      <c r="AFY31" s="333"/>
      <c r="AFZ31" s="333"/>
      <c r="AGA31" s="333"/>
      <c r="AGB31" s="333"/>
      <c r="AGC31" s="333"/>
      <c r="AGD31" s="333"/>
      <c r="AGE31" s="333"/>
      <c r="AGF31" s="333"/>
      <c r="AGG31" s="333"/>
      <c r="AGH31" s="333"/>
      <c r="AGI31" s="333"/>
      <c r="AGJ31" s="333"/>
      <c r="AGK31" s="333"/>
      <c r="AGL31" s="333"/>
      <c r="AGM31" s="333"/>
      <c r="AGN31" s="333"/>
      <c r="AGO31" s="333"/>
      <c r="AGP31" s="333"/>
      <c r="AGQ31" s="333"/>
      <c r="AGR31" s="333"/>
      <c r="AGS31" s="333"/>
      <c r="AGT31" s="333"/>
      <c r="AGU31" s="333"/>
      <c r="AGV31" s="333"/>
      <c r="AGW31" s="333"/>
      <c r="AGX31" s="333"/>
      <c r="AGY31" s="333"/>
      <c r="AGZ31" s="333"/>
      <c r="AHA31" s="333"/>
      <c r="AHB31" s="333"/>
      <c r="AHC31" s="333"/>
      <c r="AHD31" s="333"/>
      <c r="AHE31" s="333"/>
      <c r="AHF31" s="333"/>
      <c r="AHG31" s="333"/>
      <c r="AHH31" s="333"/>
      <c r="AHI31" s="333"/>
      <c r="AHJ31" s="333"/>
      <c r="AHK31" s="333"/>
      <c r="AHL31" s="333"/>
      <c r="AHM31" s="333"/>
      <c r="AHN31" s="333"/>
      <c r="AHO31" s="333"/>
      <c r="AHP31" s="333"/>
      <c r="AHQ31" s="333"/>
      <c r="AHR31" s="333"/>
      <c r="AHS31" s="333"/>
      <c r="AHT31" s="333"/>
      <c r="AHU31" s="333"/>
      <c r="AHV31" s="333"/>
      <c r="AHW31" s="333"/>
      <c r="AHX31" s="333"/>
      <c r="AHY31" s="333"/>
      <c r="AHZ31" s="333"/>
      <c r="AIA31" s="333"/>
      <c r="AIB31" s="333"/>
      <c r="AIC31" s="333"/>
      <c r="AID31" s="333"/>
      <c r="AIE31" s="333"/>
      <c r="AIF31" s="333"/>
      <c r="AIG31" s="333"/>
      <c r="AIH31" s="333"/>
      <c r="AII31" s="333"/>
      <c r="AIJ31" s="333"/>
      <c r="AIK31" s="333"/>
      <c r="AIL31" s="333"/>
      <c r="AIM31" s="333"/>
      <c r="AIN31" s="333"/>
      <c r="AIO31" s="333"/>
      <c r="AIP31" s="333"/>
      <c r="AIQ31" s="333"/>
      <c r="AIR31" s="333"/>
      <c r="AIS31" s="333"/>
      <c r="AIT31" s="333"/>
      <c r="AIU31" s="333"/>
      <c r="AIV31" s="333"/>
      <c r="AIW31" s="333"/>
      <c r="AIX31" s="333"/>
      <c r="AIY31" s="333"/>
      <c r="AIZ31" s="333"/>
      <c r="AJA31" s="333"/>
      <c r="AJB31" s="333"/>
      <c r="AJC31" s="333"/>
      <c r="AJD31" s="333"/>
      <c r="AJE31" s="333"/>
      <c r="AJF31" s="333"/>
      <c r="AJG31" s="333"/>
      <c r="AJH31" s="333"/>
      <c r="AJI31" s="333"/>
      <c r="AJJ31" s="333"/>
      <c r="AJK31" s="333"/>
      <c r="AJL31" s="333"/>
      <c r="AJM31" s="333"/>
      <c r="AJN31" s="333"/>
      <c r="AJO31" s="333"/>
      <c r="AJP31" s="333"/>
      <c r="AJQ31" s="333"/>
      <c r="AJR31" s="333"/>
      <c r="AJS31" s="333"/>
      <c r="AJT31" s="333"/>
      <c r="AJU31" s="333"/>
      <c r="AJV31" s="333"/>
      <c r="AJW31" s="333"/>
      <c r="AJX31" s="333"/>
      <c r="AJY31" s="333"/>
      <c r="AJZ31" s="333"/>
      <c r="AKA31" s="333"/>
      <c r="AKB31" s="333"/>
      <c r="AKC31" s="333"/>
      <c r="AKD31" s="333"/>
      <c r="AKE31" s="333"/>
      <c r="AKF31" s="333"/>
      <c r="AKG31" s="333"/>
      <c r="AKH31" s="333"/>
      <c r="AKI31" s="333"/>
      <c r="AKJ31" s="333"/>
      <c r="AKK31" s="333"/>
      <c r="AKL31" s="333"/>
      <c r="AKM31" s="333"/>
      <c r="AKN31" s="333"/>
      <c r="AKO31" s="333"/>
      <c r="AKP31" s="333"/>
      <c r="AKQ31" s="333"/>
      <c r="AKR31" s="333"/>
      <c r="AKS31" s="333"/>
      <c r="AKT31" s="333"/>
      <c r="AKU31" s="333"/>
      <c r="AKV31" s="333"/>
      <c r="AKW31" s="333"/>
      <c r="AKX31" s="333"/>
      <c r="AKY31" s="333"/>
      <c r="AKZ31" s="333"/>
      <c r="ALA31" s="333"/>
      <c r="ALB31" s="333"/>
      <c r="ALC31" s="333"/>
      <c r="ALD31" s="333"/>
      <c r="ALE31" s="333"/>
      <c r="ALF31" s="333"/>
      <c r="ALG31" s="333"/>
      <c r="ALH31" s="333"/>
      <c r="ALI31" s="333"/>
      <c r="ALJ31" s="333"/>
      <c r="ALK31" s="333"/>
      <c r="ALL31" s="333"/>
      <c r="ALM31" s="333"/>
      <c r="ALN31" s="333"/>
      <c r="ALO31" s="333"/>
      <c r="ALP31" s="333"/>
      <c r="ALQ31" s="333"/>
      <c r="ALR31" s="333"/>
      <c r="ALS31" s="333"/>
      <c r="ALT31" s="333"/>
      <c r="ALU31" s="333"/>
      <c r="ALV31" s="333"/>
      <c r="ALW31" s="333"/>
      <c r="ALX31" s="333"/>
      <c r="ALY31" s="333"/>
      <c r="ALZ31" s="333"/>
      <c r="AMA31" s="333"/>
      <c r="AMB31" s="333"/>
      <c r="AMC31" s="333"/>
      <c r="AMD31" s="333"/>
      <c r="AME31" s="333"/>
      <c r="AMF31" s="333"/>
      <c r="AMG31" s="333"/>
      <c r="AMH31" s="333"/>
      <c r="AMI31" s="333"/>
      <c r="AMJ31" s="333"/>
      <c r="AMK31" s="333"/>
      <c r="AML31" s="333"/>
      <c r="AMM31" s="333"/>
      <c r="AMN31" s="333"/>
      <c r="AMO31" s="333"/>
    </row>
    <row r="32" spans="1:1029" s="223" customFormat="1" x14ac:dyDescent="0.25">
      <c r="A32" s="88">
        <v>45643</v>
      </c>
      <c r="B32" s="94" t="s">
        <v>161</v>
      </c>
      <c r="C32" s="480">
        <v>65921</v>
      </c>
      <c r="D32" s="502">
        <v>286464624</v>
      </c>
      <c r="E32" s="503">
        <v>2338.8000000000002</v>
      </c>
      <c r="F32" s="504"/>
      <c r="G32" s="541"/>
      <c r="H32" s="542"/>
      <c r="I32" s="517"/>
      <c r="J32" s="517"/>
      <c r="K32" s="543"/>
      <c r="L32" s="519">
        <v>1448.4</v>
      </c>
      <c r="M32" s="520"/>
      <c r="N32" s="517"/>
      <c r="O32" s="517"/>
      <c r="P32" s="517"/>
      <c r="Q32" s="517"/>
      <c r="R32" s="517"/>
      <c r="S32" s="517"/>
      <c r="T32" s="517"/>
      <c r="U32" s="517"/>
      <c r="V32" s="517">
        <v>1207</v>
      </c>
      <c r="W32" s="517"/>
      <c r="X32" s="517"/>
      <c r="Y32" s="517"/>
      <c r="Z32" s="517"/>
      <c r="AA32" s="517"/>
      <c r="AB32" s="517"/>
      <c r="AC32" s="518"/>
      <c r="AD32" s="130">
        <v>241.4</v>
      </c>
      <c r="AE32" s="97" t="s">
        <v>63</v>
      </c>
      <c r="AF32" s="80">
        <f t="shared" si="3"/>
        <v>0</v>
      </c>
      <c r="AG32" s="333"/>
      <c r="AH32" s="129">
        <v>1207</v>
      </c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333"/>
      <c r="DE32" s="333"/>
      <c r="DF32" s="333"/>
      <c r="DG32" s="333"/>
      <c r="DH32" s="333"/>
      <c r="DI32" s="333"/>
      <c r="DJ32" s="333"/>
      <c r="DK32" s="333"/>
      <c r="DL32" s="333"/>
      <c r="DM32" s="333"/>
      <c r="DN32" s="333"/>
      <c r="DO32" s="333"/>
      <c r="DP32" s="333"/>
      <c r="DQ32" s="333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3"/>
      <c r="EK32" s="333"/>
      <c r="EL32" s="333"/>
      <c r="EM32" s="333"/>
      <c r="EN32" s="333"/>
      <c r="EO32" s="333"/>
      <c r="EP32" s="333"/>
      <c r="EQ32" s="333"/>
      <c r="ER32" s="333"/>
      <c r="ES32" s="333"/>
      <c r="ET32" s="333"/>
      <c r="EU32" s="333"/>
      <c r="EV32" s="333"/>
      <c r="EW32" s="333"/>
      <c r="EX32" s="333"/>
      <c r="EY32" s="333"/>
      <c r="EZ32" s="333"/>
      <c r="FA32" s="333"/>
      <c r="FB32" s="333"/>
      <c r="FC32" s="333"/>
      <c r="FD32" s="333"/>
      <c r="FE32" s="333"/>
      <c r="FF32" s="333"/>
      <c r="FG32" s="333"/>
      <c r="FH32" s="333"/>
      <c r="FI32" s="333"/>
      <c r="FJ32" s="333"/>
      <c r="FK32" s="333"/>
      <c r="FL32" s="333"/>
      <c r="FM32" s="333"/>
      <c r="FN32" s="333"/>
      <c r="FO32" s="333"/>
      <c r="FP32" s="333"/>
      <c r="FQ32" s="333"/>
      <c r="FR32" s="333"/>
      <c r="FS32" s="333"/>
      <c r="FT32" s="333"/>
      <c r="FU32" s="333"/>
      <c r="FV32" s="333"/>
      <c r="FW32" s="333"/>
      <c r="FX32" s="333"/>
      <c r="FY32" s="333"/>
      <c r="FZ32" s="333"/>
      <c r="GA32" s="333"/>
      <c r="GB32" s="333"/>
      <c r="GC32" s="333"/>
      <c r="GD32" s="333"/>
      <c r="GE32" s="333"/>
      <c r="GF32" s="333"/>
      <c r="GG32" s="333"/>
      <c r="GH32" s="333"/>
      <c r="GI32" s="333"/>
      <c r="GJ32" s="333"/>
      <c r="GK32" s="333"/>
      <c r="GL32" s="333"/>
      <c r="GM32" s="333"/>
      <c r="GN32" s="333"/>
      <c r="GO32" s="333"/>
      <c r="GP32" s="333"/>
      <c r="GQ32" s="333"/>
      <c r="GR32" s="333"/>
      <c r="GS32" s="333"/>
      <c r="GT32" s="333"/>
      <c r="GU32" s="333"/>
      <c r="GV32" s="333"/>
      <c r="GW32" s="333"/>
      <c r="GX32" s="333"/>
      <c r="GY32" s="333"/>
      <c r="GZ32" s="333"/>
      <c r="HA32" s="333"/>
      <c r="HB32" s="333"/>
      <c r="HC32" s="333"/>
      <c r="HD32" s="333"/>
      <c r="HE32" s="333"/>
      <c r="HF32" s="333"/>
      <c r="HG32" s="333"/>
      <c r="HH32" s="333"/>
      <c r="HI32" s="333"/>
      <c r="HJ32" s="333"/>
      <c r="HK32" s="333"/>
      <c r="HL32" s="333"/>
      <c r="HM32" s="333"/>
      <c r="HN32" s="333"/>
      <c r="HO32" s="333"/>
      <c r="HP32" s="333"/>
      <c r="HQ32" s="333"/>
      <c r="HR32" s="333"/>
      <c r="HS32" s="333"/>
      <c r="HT32" s="333"/>
      <c r="HU32" s="333"/>
      <c r="HV32" s="333"/>
      <c r="HW32" s="333"/>
      <c r="HX32" s="333"/>
      <c r="HY32" s="333"/>
      <c r="HZ32" s="333"/>
      <c r="IA32" s="333"/>
      <c r="IB32" s="333"/>
      <c r="IC32" s="333"/>
      <c r="ID32" s="333"/>
      <c r="IE32" s="333"/>
      <c r="IF32" s="333"/>
      <c r="IG32" s="333"/>
      <c r="IH32" s="333"/>
      <c r="II32" s="333"/>
      <c r="IJ32" s="333"/>
      <c r="IK32" s="333"/>
      <c r="IL32" s="333"/>
      <c r="IM32" s="333"/>
      <c r="IN32" s="333"/>
      <c r="IO32" s="333"/>
      <c r="IP32" s="333"/>
      <c r="IQ32" s="333"/>
      <c r="IR32" s="333"/>
      <c r="IS32" s="333"/>
      <c r="IT32" s="333"/>
      <c r="IU32" s="333"/>
      <c r="IV32" s="333"/>
      <c r="IW32" s="333"/>
      <c r="IX32" s="333"/>
      <c r="IY32" s="333"/>
      <c r="IZ32" s="333"/>
      <c r="JA32" s="333"/>
      <c r="JB32" s="333"/>
      <c r="JC32" s="333"/>
      <c r="JD32" s="333"/>
      <c r="JE32" s="333"/>
      <c r="JF32" s="333"/>
      <c r="JG32" s="333"/>
      <c r="JH32" s="333"/>
      <c r="JI32" s="333"/>
      <c r="JJ32" s="333"/>
      <c r="JK32" s="333"/>
      <c r="JL32" s="333"/>
      <c r="JM32" s="333"/>
      <c r="JN32" s="333"/>
      <c r="JO32" s="333"/>
      <c r="JP32" s="333"/>
      <c r="JQ32" s="333"/>
      <c r="JR32" s="333"/>
      <c r="JS32" s="333"/>
      <c r="JT32" s="333"/>
      <c r="JU32" s="333"/>
      <c r="JV32" s="333"/>
      <c r="JW32" s="333"/>
      <c r="JX32" s="333"/>
      <c r="JY32" s="333"/>
      <c r="JZ32" s="333"/>
      <c r="KA32" s="333"/>
      <c r="KB32" s="333"/>
      <c r="KC32" s="333"/>
      <c r="KD32" s="333"/>
      <c r="KE32" s="333"/>
      <c r="KF32" s="333"/>
      <c r="KG32" s="333"/>
      <c r="KH32" s="333"/>
      <c r="KI32" s="333"/>
      <c r="KJ32" s="333"/>
      <c r="KK32" s="333"/>
      <c r="KL32" s="333"/>
      <c r="KM32" s="333"/>
      <c r="KN32" s="333"/>
      <c r="KO32" s="333"/>
      <c r="KP32" s="333"/>
      <c r="KQ32" s="333"/>
      <c r="KR32" s="333"/>
      <c r="KS32" s="333"/>
      <c r="KT32" s="333"/>
      <c r="KU32" s="333"/>
      <c r="KV32" s="333"/>
      <c r="KW32" s="333"/>
      <c r="KX32" s="333"/>
      <c r="KY32" s="333"/>
      <c r="KZ32" s="333"/>
      <c r="LA32" s="333"/>
      <c r="LB32" s="333"/>
      <c r="LC32" s="333"/>
      <c r="LD32" s="333"/>
      <c r="LE32" s="333"/>
      <c r="LF32" s="333"/>
      <c r="LG32" s="333"/>
      <c r="LH32" s="333"/>
      <c r="LI32" s="333"/>
      <c r="LJ32" s="333"/>
      <c r="LK32" s="333"/>
      <c r="LL32" s="333"/>
      <c r="LM32" s="333"/>
      <c r="LN32" s="333"/>
      <c r="LO32" s="333"/>
      <c r="LP32" s="333"/>
      <c r="LQ32" s="333"/>
      <c r="LR32" s="333"/>
      <c r="LS32" s="333"/>
      <c r="LT32" s="333"/>
      <c r="LU32" s="333"/>
      <c r="LV32" s="333"/>
      <c r="LW32" s="333"/>
      <c r="LX32" s="333"/>
      <c r="LY32" s="333"/>
      <c r="LZ32" s="333"/>
      <c r="MA32" s="333"/>
      <c r="MB32" s="333"/>
      <c r="MC32" s="333"/>
      <c r="MD32" s="333"/>
      <c r="ME32" s="333"/>
      <c r="MF32" s="333"/>
      <c r="MG32" s="333"/>
      <c r="MH32" s="333"/>
      <c r="MI32" s="333"/>
      <c r="MJ32" s="333"/>
      <c r="MK32" s="333"/>
      <c r="ML32" s="333"/>
      <c r="MM32" s="333"/>
      <c r="MN32" s="333"/>
      <c r="MO32" s="333"/>
      <c r="MP32" s="333"/>
      <c r="MQ32" s="333"/>
      <c r="MR32" s="333"/>
      <c r="MS32" s="333"/>
      <c r="MT32" s="333"/>
      <c r="MU32" s="333"/>
      <c r="MV32" s="333"/>
      <c r="MW32" s="333"/>
      <c r="MX32" s="333"/>
      <c r="MY32" s="333"/>
      <c r="MZ32" s="333"/>
      <c r="NA32" s="333"/>
      <c r="NB32" s="333"/>
      <c r="NC32" s="333"/>
      <c r="ND32" s="333"/>
      <c r="NE32" s="333"/>
      <c r="NF32" s="333"/>
      <c r="NG32" s="333"/>
      <c r="NH32" s="333"/>
      <c r="NI32" s="333"/>
      <c r="NJ32" s="333"/>
      <c r="NK32" s="333"/>
      <c r="NL32" s="333"/>
      <c r="NM32" s="333"/>
      <c r="NN32" s="333"/>
      <c r="NO32" s="333"/>
      <c r="NP32" s="333"/>
      <c r="NQ32" s="333"/>
      <c r="NR32" s="333"/>
      <c r="NS32" s="333"/>
      <c r="NT32" s="333"/>
      <c r="NU32" s="333"/>
      <c r="NV32" s="333"/>
      <c r="NW32" s="333"/>
      <c r="NX32" s="333"/>
      <c r="NY32" s="333"/>
      <c r="NZ32" s="333"/>
      <c r="OA32" s="333"/>
      <c r="OB32" s="333"/>
      <c r="OC32" s="333"/>
      <c r="OD32" s="333"/>
      <c r="OE32" s="333"/>
      <c r="OF32" s="333"/>
      <c r="OG32" s="333"/>
      <c r="OH32" s="333"/>
      <c r="OI32" s="333"/>
      <c r="OJ32" s="333"/>
      <c r="OK32" s="333"/>
      <c r="OL32" s="333"/>
      <c r="OM32" s="333"/>
      <c r="ON32" s="333"/>
      <c r="OO32" s="333"/>
      <c r="OP32" s="333"/>
      <c r="OQ32" s="333"/>
      <c r="OR32" s="333"/>
      <c r="OS32" s="333"/>
      <c r="OT32" s="333"/>
      <c r="OU32" s="333"/>
      <c r="OV32" s="333"/>
      <c r="OW32" s="333"/>
      <c r="OX32" s="333"/>
      <c r="OY32" s="333"/>
      <c r="OZ32" s="333"/>
      <c r="PA32" s="333"/>
      <c r="PB32" s="333"/>
      <c r="PC32" s="333"/>
      <c r="PD32" s="333"/>
      <c r="PE32" s="333"/>
      <c r="PF32" s="333"/>
      <c r="PG32" s="333"/>
      <c r="PH32" s="333"/>
      <c r="PI32" s="333"/>
      <c r="PJ32" s="333"/>
      <c r="PK32" s="333"/>
      <c r="PL32" s="333"/>
      <c r="PM32" s="333"/>
      <c r="PN32" s="333"/>
      <c r="PO32" s="333"/>
      <c r="PP32" s="333"/>
      <c r="PQ32" s="333"/>
      <c r="PR32" s="333"/>
      <c r="PS32" s="333"/>
      <c r="PT32" s="333"/>
      <c r="PU32" s="333"/>
      <c r="PV32" s="333"/>
      <c r="PW32" s="333"/>
      <c r="PX32" s="333"/>
      <c r="PY32" s="333"/>
      <c r="PZ32" s="333"/>
      <c r="QA32" s="333"/>
      <c r="QB32" s="333"/>
      <c r="QC32" s="333"/>
      <c r="QD32" s="333"/>
      <c r="QE32" s="333"/>
      <c r="QF32" s="333"/>
      <c r="QG32" s="333"/>
      <c r="QH32" s="333"/>
      <c r="QI32" s="333"/>
      <c r="QJ32" s="333"/>
      <c r="QK32" s="333"/>
      <c r="QL32" s="333"/>
      <c r="QM32" s="333"/>
      <c r="QN32" s="333"/>
      <c r="QO32" s="333"/>
      <c r="QP32" s="333"/>
      <c r="QQ32" s="333"/>
      <c r="QR32" s="333"/>
      <c r="QS32" s="333"/>
      <c r="QT32" s="333"/>
      <c r="QU32" s="333"/>
      <c r="QV32" s="333"/>
      <c r="QW32" s="333"/>
      <c r="QX32" s="333"/>
      <c r="QY32" s="333"/>
      <c r="QZ32" s="333"/>
      <c r="RA32" s="333"/>
      <c r="RB32" s="333"/>
      <c r="RC32" s="333"/>
      <c r="RD32" s="333"/>
      <c r="RE32" s="333"/>
      <c r="RF32" s="333"/>
      <c r="RG32" s="333"/>
      <c r="RH32" s="333"/>
      <c r="RI32" s="333"/>
      <c r="RJ32" s="333"/>
      <c r="RK32" s="333"/>
      <c r="RL32" s="333"/>
      <c r="RM32" s="333"/>
      <c r="RN32" s="333"/>
      <c r="RO32" s="333"/>
      <c r="RP32" s="333"/>
      <c r="RQ32" s="333"/>
      <c r="RR32" s="333"/>
      <c r="RS32" s="333"/>
      <c r="RT32" s="333"/>
      <c r="RU32" s="333"/>
      <c r="RV32" s="333"/>
      <c r="RW32" s="333"/>
      <c r="RX32" s="333"/>
      <c r="RY32" s="333"/>
      <c r="RZ32" s="333"/>
      <c r="SA32" s="333"/>
      <c r="SB32" s="333"/>
      <c r="SC32" s="333"/>
      <c r="SD32" s="333"/>
      <c r="SE32" s="333"/>
      <c r="SF32" s="333"/>
      <c r="SG32" s="333"/>
      <c r="SH32" s="333"/>
      <c r="SI32" s="333"/>
      <c r="SJ32" s="333"/>
      <c r="SK32" s="333"/>
      <c r="SL32" s="333"/>
      <c r="SM32" s="333"/>
      <c r="SN32" s="333"/>
      <c r="SO32" s="333"/>
      <c r="SP32" s="333"/>
      <c r="SQ32" s="333"/>
      <c r="SR32" s="333"/>
      <c r="SS32" s="333"/>
      <c r="ST32" s="333"/>
      <c r="SU32" s="333"/>
      <c r="SV32" s="333"/>
      <c r="SW32" s="333"/>
      <c r="SX32" s="333"/>
      <c r="SY32" s="333"/>
      <c r="SZ32" s="333"/>
      <c r="TA32" s="333"/>
      <c r="TB32" s="333"/>
      <c r="TC32" s="333"/>
      <c r="TD32" s="333"/>
      <c r="TE32" s="333"/>
      <c r="TF32" s="333"/>
      <c r="TG32" s="333"/>
      <c r="TH32" s="333"/>
      <c r="TI32" s="333"/>
      <c r="TJ32" s="333"/>
      <c r="TK32" s="333"/>
      <c r="TL32" s="333"/>
      <c r="TM32" s="333"/>
      <c r="TN32" s="333"/>
      <c r="TO32" s="333"/>
      <c r="TP32" s="333"/>
      <c r="TQ32" s="333"/>
      <c r="TR32" s="333"/>
      <c r="TS32" s="333"/>
      <c r="TT32" s="333"/>
      <c r="TU32" s="333"/>
      <c r="TV32" s="333"/>
      <c r="TW32" s="333"/>
      <c r="TX32" s="333"/>
      <c r="TY32" s="333"/>
      <c r="TZ32" s="333"/>
      <c r="UA32" s="333"/>
      <c r="UB32" s="333"/>
      <c r="UC32" s="333"/>
      <c r="UD32" s="333"/>
      <c r="UE32" s="333"/>
      <c r="UF32" s="333"/>
      <c r="UG32" s="333"/>
      <c r="UH32" s="333"/>
      <c r="UI32" s="333"/>
      <c r="UJ32" s="333"/>
      <c r="UK32" s="333"/>
      <c r="UL32" s="333"/>
      <c r="UM32" s="333"/>
      <c r="UN32" s="333"/>
      <c r="UO32" s="333"/>
      <c r="UP32" s="333"/>
      <c r="UQ32" s="333"/>
      <c r="UR32" s="333"/>
      <c r="US32" s="333"/>
      <c r="UT32" s="333"/>
      <c r="UU32" s="333"/>
      <c r="UV32" s="333"/>
      <c r="UW32" s="333"/>
      <c r="UX32" s="333"/>
      <c r="UY32" s="333"/>
      <c r="UZ32" s="333"/>
      <c r="VA32" s="333"/>
      <c r="VB32" s="333"/>
      <c r="VC32" s="333"/>
      <c r="VD32" s="333"/>
      <c r="VE32" s="333"/>
      <c r="VF32" s="333"/>
      <c r="VG32" s="333"/>
      <c r="VH32" s="333"/>
      <c r="VI32" s="333"/>
      <c r="VJ32" s="333"/>
      <c r="VK32" s="333"/>
      <c r="VL32" s="333"/>
      <c r="VM32" s="333"/>
      <c r="VN32" s="333"/>
      <c r="VO32" s="333"/>
      <c r="VP32" s="333"/>
      <c r="VQ32" s="333"/>
      <c r="VR32" s="333"/>
      <c r="VS32" s="333"/>
      <c r="VT32" s="333"/>
      <c r="VU32" s="333"/>
      <c r="VV32" s="333"/>
      <c r="VW32" s="333"/>
      <c r="VX32" s="333"/>
      <c r="VY32" s="333"/>
      <c r="VZ32" s="333"/>
      <c r="WA32" s="333"/>
      <c r="WB32" s="333"/>
      <c r="WC32" s="333"/>
      <c r="WD32" s="333"/>
      <c r="WE32" s="333"/>
      <c r="WF32" s="333"/>
      <c r="WG32" s="333"/>
      <c r="WH32" s="333"/>
      <c r="WI32" s="333"/>
      <c r="WJ32" s="333"/>
      <c r="WK32" s="333"/>
      <c r="WL32" s="333"/>
      <c r="WM32" s="333"/>
      <c r="WN32" s="333"/>
      <c r="WO32" s="333"/>
      <c r="WP32" s="333"/>
      <c r="WQ32" s="333"/>
      <c r="WR32" s="333"/>
      <c r="WS32" s="333"/>
      <c r="WT32" s="333"/>
      <c r="WU32" s="333"/>
      <c r="WV32" s="333"/>
      <c r="WW32" s="333"/>
      <c r="WX32" s="333"/>
      <c r="WY32" s="333"/>
      <c r="WZ32" s="333"/>
      <c r="XA32" s="333"/>
      <c r="XB32" s="333"/>
      <c r="XC32" s="333"/>
      <c r="XD32" s="333"/>
      <c r="XE32" s="333"/>
      <c r="XF32" s="333"/>
      <c r="XG32" s="333"/>
      <c r="XH32" s="333"/>
      <c r="XI32" s="333"/>
      <c r="XJ32" s="333"/>
      <c r="XK32" s="333"/>
      <c r="XL32" s="333"/>
      <c r="XM32" s="333"/>
      <c r="XN32" s="333"/>
      <c r="XO32" s="333"/>
      <c r="XP32" s="333"/>
      <c r="XQ32" s="333"/>
      <c r="XR32" s="333"/>
      <c r="XS32" s="333"/>
      <c r="XT32" s="333"/>
      <c r="XU32" s="333"/>
      <c r="XV32" s="333"/>
      <c r="XW32" s="333"/>
      <c r="XX32" s="333"/>
      <c r="XY32" s="333"/>
      <c r="XZ32" s="333"/>
      <c r="YA32" s="333"/>
      <c r="YB32" s="333"/>
      <c r="YC32" s="333"/>
      <c r="YD32" s="333"/>
      <c r="YE32" s="333"/>
      <c r="YF32" s="333"/>
      <c r="YG32" s="333"/>
      <c r="YH32" s="333"/>
      <c r="YI32" s="333"/>
      <c r="YJ32" s="333"/>
      <c r="YK32" s="333"/>
      <c r="YL32" s="333"/>
      <c r="YM32" s="333"/>
      <c r="YN32" s="333"/>
      <c r="YO32" s="333"/>
      <c r="YP32" s="333"/>
      <c r="YQ32" s="333"/>
      <c r="YR32" s="333"/>
      <c r="YS32" s="333"/>
      <c r="YT32" s="333"/>
      <c r="YU32" s="333"/>
      <c r="YV32" s="333"/>
      <c r="YW32" s="333"/>
      <c r="YX32" s="333"/>
      <c r="YY32" s="333"/>
      <c r="YZ32" s="333"/>
      <c r="ZA32" s="333"/>
      <c r="ZB32" s="333"/>
      <c r="ZC32" s="333"/>
      <c r="ZD32" s="333"/>
      <c r="ZE32" s="333"/>
      <c r="ZF32" s="333"/>
      <c r="ZG32" s="333"/>
      <c r="ZH32" s="333"/>
      <c r="ZI32" s="333"/>
      <c r="ZJ32" s="333"/>
      <c r="ZK32" s="333"/>
      <c r="ZL32" s="333"/>
      <c r="ZM32" s="333"/>
      <c r="ZN32" s="333"/>
      <c r="ZO32" s="333"/>
      <c r="ZP32" s="333"/>
      <c r="ZQ32" s="333"/>
      <c r="ZR32" s="333"/>
      <c r="ZS32" s="333"/>
      <c r="ZT32" s="333"/>
      <c r="ZU32" s="333"/>
      <c r="ZV32" s="333"/>
      <c r="ZW32" s="333"/>
      <c r="ZX32" s="333"/>
      <c r="ZY32" s="333"/>
      <c r="ZZ32" s="333"/>
      <c r="AAA32" s="333"/>
      <c r="AAB32" s="333"/>
      <c r="AAC32" s="333"/>
      <c r="AAD32" s="333"/>
      <c r="AAE32" s="333"/>
      <c r="AAF32" s="333"/>
      <c r="AAG32" s="333"/>
      <c r="AAH32" s="333"/>
      <c r="AAI32" s="333"/>
      <c r="AAJ32" s="333"/>
      <c r="AAK32" s="333"/>
      <c r="AAL32" s="333"/>
      <c r="AAM32" s="333"/>
      <c r="AAN32" s="333"/>
      <c r="AAO32" s="333"/>
      <c r="AAP32" s="333"/>
      <c r="AAQ32" s="333"/>
      <c r="AAR32" s="333"/>
      <c r="AAS32" s="333"/>
      <c r="AAT32" s="333"/>
      <c r="AAU32" s="333"/>
      <c r="AAV32" s="333"/>
      <c r="AAW32" s="333"/>
      <c r="AAX32" s="333"/>
      <c r="AAY32" s="333"/>
      <c r="AAZ32" s="333"/>
      <c r="ABA32" s="333"/>
      <c r="ABB32" s="333"/>
      <c r="ABC32" s="333"/>
      <c r="ABD32" s="333"/>
      <c r="ABE32" s="333"/>
      <c r="ABF32" s="333"/>
      <c r="ABG32" s="333"/>
      <c r="ABH32" s="333"/>
      <c r="ABI32" s="333"/>
      <c r="ABJ32" s="333"/>
      <c r="ABK32" s="333"/>
      <c r="ABL32" s="333"/>
      <c r="ABM32" s="333"/>
      <c r="ABN32" s="333"/>
      <c r="ABO32" s="333"/>
      <c r="ABP32" s="333"/>
      <c r="ABQ32" s="333"/>
      <c r="ABR32" s="333"/>
      <c r="ABS32" s="333"/>
      <c r="ABT32" s="333"/>
      <c r="ABU32" s="333"/>
      <c r="ABV32" s="333"/>
      <c r="ABW32" s="333"/>
      <c r="ABX32" s="333"/>
      <c r="ABY32" s="333"/>
      <c r="ABZ32" s="333"/>
      <c r="ACA32" s="333"/>
      <c r="ACB32" s="333"/>
      <c r="ACC32" s="333"/>
      <c r="ACD32" s="333"/>
      <c r="ACE32" s="333"/>
      <c r="ACF32" s="333"/>
      <c r="ACG32" s="333"/>
      <c r="ACH32" s="333"/>
      <c r="ACI32" s="333"/>
      <c r="ACJ32" s="333"/>
      <c r="ACK32" s="333"/>
      <c r="ACL32" s="333"/>
      <c r="ACM32" s="333"/>
      <c r="ACN32" s="333"/>
      <c r="ACO32" s="333"/>
      <c r="ACP32" s="333"/>
      <c r="ACQ32" s="333"/>
      <c r="ACR32" s="333"/>
      <c r="ACS32" s="333"/>
      <c r="ACT32" s="333"/>
      <c r="ACU32" s="333"/>
      <c r="ACV32" s="333"/>
      <c r="ACW32" s="333"/>
      <c r="ACX32" s="333"/>
      <c r="ACY32" s="333"/>
      <c r="ACZ32" s="333"/>
      <c r="ADA32" s="333"/>
      <c r="ADB32" s="333"/>
      <c r="ADC32" s="333"/>
      <c r="ADD32" s="333"/>
      <c r="ADE32" s="333"/>
      <c r="ADF32" s="333"/>
      <c r="ADG32" s="333"/>
      <c r="ADH32" s="333"/>
      <c r="ADI32" s="333"/>
      <c r="ADJ32" s="333"/>
      <c r="ADK32" s="333"/>
      <c r="ADL32" s="333"/>
      <c r="ADM32" s="333"/>
      <c r="ADN32" s="333"/>
      <c r="ADO32" s="333"/>
      <c r="ADP32" s="333"/>
      <c r="ADQ32" s="333"/>
      <c r="ADR32" s="333"/>
      <c r="ADS32" s="333"/>
      <c r="ADT32" s="333"/>
      <c r="ADU32" s="333"/>
      <c r="ADV32" s="333"/>
      <c r="ADW32" s="333"/>
      <c r="ADX32" s="333"/>
      <c r="ADY32" s="333"/>
      <c r="ADZ32" s="333"/>
      <c r="AEA32" s="333"/>
      <c r="AEB32" s="333"/>
      <c r="AEC32" s="333"/>
      <c r="AED32" s="333"/>
      <c r="AEE32" s="333"/>
      <c r="AEF32" s="333"/>
      <c r="AEG32" s="333"/>
      <c r="AEH32" s="333"/>
      <c r="AEI32" s="333"/>
      <c r="AEJ32" s="333"/>
      <c r="AEK32" s="333"/>
      <c r="AEL32" s="333"/>
      <c r="AEM32" s="333"/>
      <c r="AEN32" s="333"/>
      <c r="AEO32" s="333"/>
      <c r="AEP32" s="333"/>
      <c r="AEQ32" s="333"/>
      <c r="AER32" s="333"/>
      <c r="AES32" s="333"/>
      <c r="AET32" s="333"/>
      <c r="AEU32" s="333"/>
      <c r="AEV32" s="333"/>
      <c r="AEW32" s="333"/>
      <c r="AEX32" s="333"/>
      <c r="AEY32" s="333"/>
      <c r="AEZ32" s="333"/>
      <c r="AFA32" s="333"/>
      <c r="AFB32" s="333"/>
      <c r="AFC32" s="333"/>
      <c r="AFD32" s="333"/>
      <c r="AFE32" s="333"/>
      <c r="AFF32" s="333"/>
      <c r="AFG32" s="333"/>
      <c r="AFH32" s="333"/>
      <c r="AFI32" s="333"/>
      <c r="AFJ32" s="333"/>
      <c r="AFK32" s="333"/>
      <c r="AFL32" s="333"/>
      <c r="AFM32" s="333"/>
      <c r="AFN32" s="333"/>
      <c r="AFO32" s="333"/>
      <c r="AFP32" s="333"/>
      <c r="AFQ32" s="333"/>
      <c r="AFR32" s="333"/>
      <c r="AFS32" s="333"/>
      <c r="AFT32" s="333"/>
      <c r="AFU32" s="333"/>
      <c r="AFV32" s="333"/>
      <c r="AFW32" s="333"/>
      <c r="AFX32" s="333"/>
      <c r="AFY32" s="333"/>
      <c r="AFZ32" s="333"/>
      <c r="AGA32" s="333"/>
      <c r="AGB32" s="333"/>
      <c r="AGC32" s="333"/>
      <c r="AGD32" s="333"/>
      <c r="AGE32" s="333"/>
      <c r="AGF32" s="333"/>
      <c r="AGG32" s="333"/>
      <c r="AGH32" s="333"/>
      <c r="AGI32" s="333"/>
      <c r="AGJ32" s="333"/>
      <c r="AGK32" s="333"/>
      <c r="AGL32" s="333"/>
      <c r="AGM32" s="333"/>
      <c r="AGN32" s="333"/>
      <c r="AGO32" s="333"/>
      <c r="AGP32" s="333"/>
      <c r="AGQ32" s="333"/>
      <c r="AGR32" s="333"/>
      <c r="AGS32" s="333"/>
      <c r="AGT32" s="333"/>
      <c r="AGU32" s="333"/>
      <c r="AGV32" s="333"/>
      <c r="AGW32" s="333"/>
      <c r="AGX32" s="333"/>
      <c r="AGY32" s="333"/>
      <c r="AGZ32" s="333"/>
      <c r="AHA32" s="333"/>
      <c r="AHB32" s="333"/>
      <c r="AHC32" s="333"/>
      <c r="AHD32" s="333"/>
      <c r="AHE32" s="333"/>
      <c r="AHF32" s="333"/>
      <c r="AHG32" s="333"/>
      <c r="AHH32" s="333"/>
      <c r="AHI32" s="333"/>
      <c r="AHJ32" s="333"/>
      <c r="AHK32" s="333"/>
      <c r="AHL32" s="333"/>
      <c r="AHM32" s="333"/>
      <c r="AHN32" s="333"/>
      <c r="AHO32" s="333"/>
      <c r="AHP32" s="333"/>
      <c r="AHQ32" s="333"/>
      <c r="AHR32" s="333"/>
      <c r="AHS32" s="333"/>
      <c r="AHT32" s="333"/>
      <c r="AHU32" s="333"/>
      <c r="AHV32" s="333"/>
      <c r="AHW32" s="333"/>
      <c r="AHX32" s="333"/>
      <c r="AHY32" s="333"/>
      <c r="AHZ32" s="333"/>
      <c r="AIA32" s="333"/>
      <c r="AIB32" s="333"/>
      <c r="AIC32" s="333"/>
      <c r="AID32" s="333"/>
      <c r="AIE32" s="333"/>
      <c r="AIF32" s="333"/>
      <c r="AIG32" s="333"/>
      <c r="AIH32" s="333"/>
      <c r="AII32" s="333"/>
      <c r="AIJ32" s="333"/>
      <c r="AIK32" s="333"/>
      <c r="AIL32" s="333"/>
      <c r="AIM32" s="333"/>
      <c r="AIN32" s="333"/>
      <c r="AIO32" s="333"/>
      <c r="AIP32" s="333"/>
      <c r="AIQ32" s="333"/>
      <c r="AIR32" s="333"/>
      <c r="AIS32" s="333"/>
      <c r="AIT32" s="333"/>
      <c r="AIU32" s="333"/>
      <c r="AIV32" s="333"/>
      <c r="AIW32" s="333"/>
      <c r="AIX32" s="333"/>
      <c r="AIY32" s="333"/>
      <c r="AIZ32" s="333"/>
      <c r="AJA32" s="333"/>
      <c r="AJB32" s="333"/>
      <c r="AJC32" s="333"/>
      <c r="AJD32" s="333"/>
      <c r="AJE32" s="333"/>
      <c r="AJF32" s="333"/>
      <c r="AJG32" s="333"/>
      <c r="AJH32" s="333"/>
      <c r="AJI32" s="333"/>
      <c r="AJJ32" s="333"/>
      <c r="AJK32" s="333"/>
      <c r="AJL32" s="333"/>
      <c r="AJM32" s="333"/>
      <c r="AJN32" s="333"/>
      <c r="AJO32" s="333"/>
      <c r="AJP32" s="333"/>
      <c r="AJQ32" s="333"/>
      <c r="AJR32" s="333"/>
      <c r="AJS32" s="333"/>
      <c r="AJT32" s="333"/>
      <c r="AJU32" s="333"/>
      <c r="AJV32" s="333"/>
      <c r="AJW32" s="333"/>
      <c r="AJX32" s="333"/>
      <c r="AJY32" s="333"/>
      <c r="AJZ32" s="333"/>
      <c r="AKA32" s="333"/>
      <c r="AKB32" s="333"/>
      <c r="AKC32" s="333"/>
      <c r="AKD32" s="333"/>
      <c r="AKE32" s="333"/>
      <c r="AKF32" s="333"/>
      <c r="AKG32" s="333"/>
      <c r="AKH32" s="333"/>
      <c r="AKI32" s="333"/>
      <c r="AKJ32" s="333"/>
      <c r="AKK32" s="333"/>
      <c r="AKL32" s="333"/>
      <c r="AKM32" s="333"/>
      <c r="AKN32" s="333"/>
      <c r="AKO32" s="333"/>
      <c r="AKP32" s="333"/>
      <c r="AKQ32" s="333"/>
      <c r="AKR32" s="333"/>
      <c r="AKS32" s="333"/>
      <c r="AKT32" s="333"/>
      <c r="AKU32" s="333"/>
      <c r="AKV32" s="333"/>
      <c r="AKW32" s="333"/>
      <c r="AKX32" s="333"/>
      <c r="AKY32" s="333"/>
      <c r="AKZ32" s="333"/>
      <c r="ALA32" s="333"/>
      <c r="ALB32" s="333"/>
      <c r="ALC32" s="333"/>
      <c r="ALD32" s="333"/>
      <c r="ALE32" s="333"/>
      <c r="ALF32" s="333"/>
      <c r="ALG32" s="333"/>
      <c r="ALH32" s="333"/>
      <c r="ALI32" s="333"/>
      <c r="ALJ32" s="333"/>
      <c r="ALK32" s="333"/>
      <c r="ALL32" s="333"/>
      <c r="ALM32" s="333"/>
      <c r="ALN32" s="333"/>
      <c r="ALO32" s="333"/>
      <c r="ALP32" s="333"/>
      <c r="ALQ32" s="333"/>
      <c r="ALR32" s="333"/>
      <c r="ALS32" s="333"/>
      <c r="ALT32" s="333"/>
      <c r="ALU32" s="333"/>
      <c r="ALV32" s="333"/>
      <c r="ALW32" s="333"/>
      <c r="ALX32" s="333"/>
      <c r="ALY32" s="333"/>
      <c r="ALZ32" s="333"/>
      <c r="AMA32" s="333"/>
      <c r="AMB32" s="333"/>
      <c r="AMC32" s="333"/>
      <c r="AMD32" s="333"/>
      <c r="AME32" s="333"/>
      <c r="AMF32" s="333"/>
      <c r="AMG32" s="333"/>
      <c r="AMH32" s="333"/>
      <c r="AMI32" s="333"/>
      <c r="AMJ32" s="333"/>
      <c r="AMK32" s="333"/>
      <c r="AML32" s="333"/>
      <c r="AMM32" s="333"/>
      <c r="AMN32" s="333"/>
      <c r="AMO32" s="333"/>
    </row>
    <row r="33" spans="1:8192 8215:9215 9238:10238 10261:11261 11284:12284 12307:13307 13330:14330 14353:15353 15376:16376" s="223" customFormat="1" x14ac:dyDescent="0.25">
      <c r="A33" s="88">
        <v>45643</v>
      </c>
      <c r="B33" s="42" t="s">
        <v>38</v>
      </c>
      <c r="C33" s="480" t="s">
        <v>162</v>
      </c>
      <c r="D33" s="502">
        <v>673419550</v>
      </c>
      <c r="E33" s="503">
        <v>47</v>
      </c>
      <c r="F33" s="504"/>
      <c r="G33" s="541"/>
      <c r="H33" s="542"/>
      <c r="I33" s="517"/>
      <c r="J33" s="517"/>
      <c r="K33" s="543"/>
      <c r="L33" s="519">
        <v>47</v>
      </c>
      <c r="M33" s="520"/>
      <c r="N33" s="517">
        <v>47</v>
      </c>
      <c r="O33" s="517"/>
      <c r="P33" s="517"/>
      <c r="Q33" s="517"/>
      <c r="R33" s="517"/>
      <c r="S33" s="517"/>
      <c r="T33" s="517"/>
      <c r="U33" s="517"/>
      <c r="V33" s="517"/>
      <c r="W33" s="517"/>
      <c r="X33" s="517"/>
      <c r="Y33" s="517"/>
      <c r="Z33" s="517"/>
      <c r="AA33" s="517"/>
      <c r="AB33" s="517"/>
      <c r="AC33" s="518"/>
      <c r="AD33" s="130"/>
      <c r="AE33" s="97"/>
      <c r="AF33" s="80">
        <f t="shared" si="0"/>
        <v>0</v>
      </c>
      <c r="AG33" s="333"/>
      <c r="AH33" s="129">
        <v>47</v>
      </c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  <c r="CV33" s="333"/>
      <c r="CW33" s="333"/>
      <c r="CX33" s="333"/>
      <c r="CY33" s="333"/>
      <c r="CZ33" s="333"/>
      <c r="DA33" s="333"/>
      <c r="DB33" s="333"/>
      <c r="DC33" s="333"/>
      <c r="DD33" s="333"/>
      <c r="DE33" s="333"/>
      <c r="DF33" s="333"/>
      <c r="DG33" s="333"/>
      <c r="DH33" s="333"/>
      <c r="DI33" s="333"/>
      <c r="DJ33" s="333"/>
      <c r="DK33" s="333"/>
      <c r="DL33" s="333"/>
      <c r="DM33" s="333"/>
      <c r="DN33" s="333"/>
      <c r="DO33" s="333"/>
      <c r="DP33" s="333"/>
      <c r="DQ33" s="333"/>
      <c r="DR33" s="333"/>
      <c r="DS33" s="333"/>
      <c r="DT33" s="333"/>
      <c r="DU33" s="333"/>
      <c r="DV33" s="333"/>
      <c r="DW33" s="333"/>
      <c r="DX33" s="333"/>
      <c r="DY33" s="333"/>
      <c r="DZ33" s="333"/>
      <c r="EA33" s="333"/>
      <c r="EB33" s="333"/>
      <c r="EC33" s="333"/>
      <c r="ED33" s="333"/>
      <c r="EE33" s="333"/>
      <c r="EF33" s="333"/>
      <c r="EG33" s="333"/>
      <c r="EH33" s="333"/>
      <c r="EI33" s="333"/>
      <c r="EJ33" s="333"/>
      <c r="EK33" s="333"/>
      <c r="EL33" s="333"/>
      <c r="EM33" s="333"/>
      <c r="EN33" s="333"/>
      <c r="EO33" s="333"/>
      <c r="EP33" s="333"/>
      <c r="EQ33" s="333"/>
      <c r="ER33" s="333"/>
      <c r="ES33" s="333"/>
      <c r="ET33" s="333"/>
      <c r="EU33" s="333"/>
      <c r="EV33" s="333"/>
      <c r="EW33" s="333"/>
      <c r="EX33" s="333"/>
      <c r="EY33" s="333"/>
      <c r="EZ33" s="333"/>
      <c r="FA33" s="333"/>
      <c r="FB33" s="333"/>
      <c r="FC33" s="333"/>
      <c r="FD33" s="333"/>
      <c r="FE33" s="333"/>
      <c r="FF33" s="333"/>
      <c r="FG33" s="333"/>
      <c r="FH33" s="333"/>
      <c r="FI33" s="333"/>
      <c r="FJ33" s="333"/>
      <c r="FK33" s="333"/>
      <c r="FL33" s="333"/>
      <c r="FM33" s="333"/>
      <c r="FN33" s="333"/>
      <c r="FO33" s="333"/>
      <c r="FP33" s="333"/>
      <c r="FQ33" s="333"/>
      <c r="FR33" s="333"/>
      <c r="FS33" s="333"/>
      <c r="FT33" s="333"/>
      <c r="FU33" s="333"/>
      <c r="FV33" s="333"/>
      <c r="FW33" s="333"/>
      <c r="FX33" s="333"/>
      <c r="FY33" s="333"/>
      <c r="FZ33" s="333"/>
      <c r="GA33" s="333"/>
      <c r="GB33" s="333"/>
      <c r="GC33" s="333"/>
      <c r="GD33" s="333"/>
      <c r="GE33" s="333"/>
      <c r="GF33" s="333"/>
      <c r="GG33" s="333"/>
      <c r="GH33" s="333"/>
      <c r="GI33" s="333"/>
      <c r="GJ33" s="333"/>
      <c r="GK33" s="333"/>
      <c r="GL33" s="333"/>
      <c r="GM33" s="333"/>
      <c r="GN33" s="333"/>
      <c r="GO33" s="333"/>
      <c r="GP33" s="333"/>
      <c r="GQ33" s="333"/>
      <c r="GR33" s="333"/>
      <c r="GS33" s="333"/>
      <c r="GT33" s="333"/>
      <c r="GU33" s="333"/>
      <c r="GV33" s="333"/>
      <c r="GW33" s="333"/>
      <c r="GX33" s="333"/>
      <c r="GY33" s="333"/>
      <c r="GZ33" s="333"/>
      <c r="HA33" s="333"/>
      <c r="HB33" s="333"/>
      <c r="HC33" s="333"/>
      <c r="HD33" s="333"/>
      <c r="HE33" s="333"/>
      <c r="HF33" s="333"/>
      <c r="HG33" s="333"/>
      <c r="HH33" s="333"/>
      <c r="HI33" s="333"/>
      <c r="HJ33" s="333"/>
      <c r="HK33" s="333"/>
      <c r="HL33" s="333"/>
      <c r="HM33" s="333"/>
      <c r="HN33" s="333"/>
      <c r="HO33" s="333"/>
      <c r="HP33" s="333"/>
      <c r="HQ33" s="333"/>
      <c r="HR33" s="333"/>
      <c r="HS33" s="333"/>
      <c r="HT33" s="333"/>
      <c r="HU33" s="333"/>
      <c r="HV33" s="333"/>
      <c r="HW33" s="333"/>
      <c r="HX33" s="333"/>
      <c r="HY33" s="333"/>
      <c r="HZ33" s="333"/>
      <c r="IA33" s="333"/>
      <c r="IB33" s="333"/>
      <c r="IC33" s="333"/>
      <c r="ID33" s="333"/>
      <c r="IE33" s="333"/>
      <c r="IF33" s="333"/>
      <c r="IG33" s="333"/>
      <c r="IH33" s="333"/>
      <c r="II33" s="333"/>
      <c r="IJ33" s="333"/>
      <c r="IK33" s="333"/>
      <c r="IL33" s="333"/>
      <c r="IM33" s="333"/>
      <c r="IN33" s="333"/>
      <c r="IO33" s="333"/>
      <c r="IP33" s="333"/>
      <c r="IQ33" s="333"/>
      <c r="IR33" s="333"/>
      <c r="IS33" s="333"/>
      <c r="IT33" s="333"/>
      <c r="IU33" s="333"/>
      <c r="IV33" s="333"/>
      <c r="IW33" s="333"/>
      <c r="IX33" s="333"/>
      <c r="IY33" s="333"/>
      <c r="IZ33" s="333"/>
      <c r="JA33" s="333"/>
      <c r="JB33" s="333"/>
      <c r="JC33" s="333"/>
      <c r="JD33" s="333"/>
      <c r="JE33" s="333"/>
      <c r="JF33" s="333"/>
      <c r="JG33" s="333"/>
      <c r="JH33" s="333"/>
      <c r="JI33" s="333"/>
      <c r="JJ33" s="333"/>
      <c r="JK33" s="333"/>
      <c r="JL33" s="333"/>
      <c r="JM33" s="333"/>
      <c r="JN33" s="333"/>
      <c r="JO33" s="333"/>
      <c r="JP33" s="333"/>
      <c r="JQ33" s="333"/>
      <c r="JR33" s="333"/>
      <c r="JS33" s="333"/>
      <c r="JT33" s="333"/>
      <c r="JU33" s="333"/>
      <c r="JV33" s="333"/>
      <c r="JW33" s="333"/>
      <c r="JX33" s="333"/>
      <c r="JY33" s="333"/>
      <c r="JZ33" s="333"/>
      <c r="KA33" s="333"/>
      <c r="KB33" s="333"/>
      <c r="KC33" s="333"/>
      <c r="KD33" s="333"/>
      <c r="KE33" s="333"/>
      <c r="KF33" s="333"/>
      <c r="KG33" s="333"/>
      <c r="KH33" s="333"/>
      <c r="KI33" s="333"/>
      <c r="KJ33" s="333"/>
      <c r="KK33" s="333"/>
      <c r="KL33" s="333"/>
      <c r="KM33" s="333"/>
      <c r="KN33" s="333"/>
      <c r="KO33" s="333"/>
      <c r="KP33" s="333"/>
      <c r="KQ33" s="333"/>
      <c r="KR33" s="333"/>
      <c r="KS33" s="333"/>
      <c r="KT33" s="333"/>
      <c r="KU33" s="333"/>
      <c r="KV33" s="333"/>
      <c r="KW33" s="333"/>
      <c r="KX33" s="333"/>
      <c r="KY33" s="333"/>
      <c r="KZ33" s="333"/>
      <c r="LA33" s="333"/>
      <c r="LB33" s="333"/>
      <c r="LC33" s="333"/>
      <c r="LD33" s="333"/>
      <c r="LE33" s="333"/>
      <c r="LF33" s="333"/>
      <c r="LG33" s="333"/>
      <c r="LH33" s="333"/>
      <c r="LI33" s="333"/>
      <c r="LJ33" s="333"/>
      <c r="LK33" s="333"/>
      <c r="LL33" s="333"/>
      <c r="LM33" s="333"/>
      <c r="LN33" s="333"/>
      <c r="LO33" s="333"/>
      <c r="LP33" s="333"/>
      <c r="LQ33" s="333"/>
      <c r="LR33" s="333"/>
      <c r="LS33" s="333"/>
      <c r="LT33" s="333"/>
      <c r="LU33" s="333"/>
      <c r="LV33" s="333"/>
      <c r="LW33" s="333"/>
      <c r="LX33" s="333"/>
      <c r="LY33" s="333"/>
      <c r="LZ33" s="333"/>
      <c r="MA33" s="333"/>
      <c r="MB33" s="333"/>
      <c r="MC33" s="333"/>
      <c r="MD33" s="333"/>
      <c r="ME33" s="333"/>
      <c r="MF33" s="333"/>
      <c r="MG33" s="333"/>
      <c r="MH33" s="333"/>
      <c r="MI33" s="333"/>
      <c r="MJ33" s="333"/>
      <c r="MK33" s="333"/>
      <c r="ML33" s="333"/>
      <c r="MM33" s="333"/>
      <c r="MN33" s="333"/>
      <c r="MO33" s="333"/>
      <c r="MP33" s="333"/>
      <c r="MQ33" s="333"/>
      <c r="MR33" s="333"/>
      <c r="MS33" s="333"/>
      <c r="MT33" s="333"/>
      <c r="MU33" s="333"/>
      <c r="MV33" s="333"/>
      <c r="MW33" s="333"/>
      <c r="MX33" s="333"/>
      <c r="MY33" s="333"/>
      <c r="MZ33" s="333"/>
      <c r="NA33" s="333"/>
      <c r="NB33" s="333"/>
      <c r="NC33" s="333"/>
      <c r="ND33" s="333"/>
      <c r="NE33" s="333"/>
      <c r="NF33" s="333"/>
      <c r="NG33" s="333"/>
      <c r="NH33" s="333"/>
      <c r="NI33" s="333"/>
      <c r="NJ33" s="333"/>
      <c r="NK33" s="333"/>
      <c r="NL33" s="333"/>
      <c r="NM33" s="333"/>
      <c r="NN33" s="333"/>
      <c r="NO33" s="333"/>
      <c r="NP33" s="333"/>
      <c r="NQ33" s="333"/>
      <c r="NR33" s="333"/>
      <c r="NS33" s="333"/>
      <c r="NT33" s="333"/>
      <c r="NU33" s="333"/>
      <c r="NV33" s="333"/>
      <c r="NW33" s="333"/>
      <c r="NX33" s="333"/>
      <c r="NY33" s="333"/>
      <c r="NZ33" s="333"/>
      <c r="OA33" s="333"/>
      <c r="OB33" s="333"/>
      <c r="OC33" s="333"/>
      <c r="OD33" s="333"/>
      <c r="OE33" s="333"/>
      <c r="OF33" s="333"/>
      <c r="OG33" s="333"/>
      <c r="OH33" s="333"/>
      <c r="OI33" s="333"/>
      <c r="OJ33" s="333"/>
      <c r="OK33" s="333"/>
      <c r="OL33" s="333"/>
      <c r="OM33" s="333"/>
      <c r="ON33" s="333"/>
      <c r="OO33" s="333"/>
      <c r="OP33" s="333"/>
      <c r="OQ33" s="333"/>
      <c r="OR33" s="333"/>
      <c r="OS33" s="333"/>
      <c r="OT33" s="333"/>
      <c r="OU33" s="333"/>
      <c r="OV33" s="333"/>
      <c r="OW33" s="333"/>
      <c r="OX33" s="333"/>
      <c r="OY33" s="333"/>
      <c r="OZ33" s="333"/>
      <c r="PA33" s="333"/>
      <c r="PB33" s="333"/>
      <c r="PC33" s="333"/>
      <c r="PD33" s="333"/>
      <c r="PE33" s="333"/>
      <c r="PF33" s="333"/>
      <c r="PG33" s="333"/>
      <c r="PH33" s="333"/>
      <c r="PI33" s="333"/>
      <c r="PJ33" s="333"/>
      <c r="PK33" s="333"/>
      <c r="PL33" s="333"/>
      <c r="PM33" s="333"/>
      <c r="PN33" s="333"/>
      <c r="PO33" s="333"/>
      <c r="PP33" s="333"/>
      <c r="PQ33" s="333"/>
      <c r="PR33" s="333"/>
      <c r="PS33" s="333"/>
      <c r="PT33" s="333"/>
      <c r="PU33" s="333"/>
      <c r="PV33" s="333"/>
      <c r="PW33" s="333"/>
      <c r="PX33" s="333"/>
      <c r="PY33" s="333"/>
      <c r="PZ33" s="333"/>
      <c r="QA33" s="333"/>
      <c r="QB33" s="333"/>
      <c r="QC33" s="333"/>
      <c r="QD33" s="333"/>
      <c r="QE33" s="333"/>
      <c r="QF33" s="333"/>
      <c r="QG33" s="333"/>
      <c r="QH33" s="333"/>
      <c r="QI33" s="333"/>
      <c r="QJ33" s="333"/>
      <c r="QK33" s="333"/>
      <c r="QL33" s="333"/>
      <c r="QM33" s="333"/>
      <c r="QN33" s="333"/>
      <c r="QO33" s="333"/>
      <c r="QP33" s="333"/>
      <c r="QQ33" s="333"/>
      <c r="QR33" s="333"/>
      <c r="QS33" s="333"/>
      <c r="QT33" s="333"/>
      <c r="QU33" s="333"/>
      <c r="QV33" s="333"/>
      <c r="QW33" s="333"/>
      <c r="QX33" s="333"/>
      <c r="QY33" s="333"/>
      <c r="QZ33" s="333"/>
      <c r="RA33" s="333"/>
      <c r="RB33" s="333"/>
      <c r="RC33" s="333"/>
      <c r="RD33" s="333"/>
      <c r="RE33" s="333"/>
      <c r="RF33" s="333"/>
      <c r="RG33" s="333"/>
      <c r="RH33" s="333"/>
      <c r="RI33" s="333"/>
      <c r="RJ33" s="333"/>
      <c r="RK33" s="333"/>
      <c r="RL33" s="333"/>
      <c r="RM33" s="333"/>
      <c r="RN33" s="333"/>
      <c r="RO33" s="333"/>
      <c r="RP33" s="333"/>
      <c r="RQ33" s="333"/>
      <c r="RR33" s="333"/>
      <c r="RS33" s="333"/>
      <c r="RT33" s="333"/>
      <c r="RU33" s="333"/>
      <c r="RV33" s="333"/>
      <c r="RW33" s="333"/>
      <c r="RX33" s="333"/>
      <c r="RY33" s="333"/>
      <c r="RZ33" s="333"/>
      <c r="SA33" s="333"/>
      <c r="SB33" s="333"/>
      <c r="SC33" s="333"/>
      <c r="SD33" s="333"/>
      <c r="SE33" s="333"/>
      <c r="SF33" s="333"/>
      <c r="SG33" s="333"/>
      <c r="SH33" s="333"/>
      <c r="SI33" s="333"/>
      <c r="SJ33" s="333"/>
      <c r="SK33" s="333"/>
      <c r="SL33" s="333"/>
      <c r="SM33" s="333"/>
      <c r="SN33" s="333"/>
      <c r="SO33" s="333"/>
      <c r="SP33" s="333"/>
      <c r="SQ33" s="333"/>
      <c r="SR33" s="333"/>
      <c r="SS33" s="333"/>
      <c r="ST33" s="333"/>
      <c r="SU33" s="333"/>
      <c r="SV33" s="333"/>
      <c r="SW33" s="333"/>
      <c r="SX33" s="333"/>
      <c r="SY33" s="333"/>
      <c r="SZ33" s="333"/>
      <c r="TA33" s="333"/>
      <c r="TB33" s="333"/>
      <c r="TC33" s="333"/>
      <c r="TD33" s="333"/>
      <c r="TE33" s="333"/>
      <c r="TF33" s="333"/>
      <c r="TG33" s="333"/>
      <c r="TH33" s="333"/>
      <c r="TI33" s="333"/>
      <c r="TJ33" s="333"/>
      <c r="TK33" s="333"/>
      <c r="TL33" s="333"/>
      <c r="TM33" s="333"/>
      <c r="TN33" s="333"/>
      <c r="TO33" s="333"/>
      <c r="TP33" s="333"/>
      <c r="TQ33" s="333"/>
      <c r="TR33" s="333"/>
      <c r="TS33" s="333"/>
      <c r="TT33" s="333"/>
      <c r="TU33" s="333"/>
      <c r="TV33" s="333"/>
      <c r="TW33" s="333"/>
      <c r="TX33" s="333"/>
      <c r="TY33" s="333"/>
      <c r="TZ33" s="333"/>
      <c r="UA33" s="333"/>
      <c r="UB33" s="333"/>
      <c r="UC33" s="333"/>
      <c r="UD33" s="333"/>
      <c r="UE33" s="333"/>
      <c r="UF33" s="333"/>
      <c r="UG33" s="333"/>
      <c r="UH33" s="333"/>
      <c r="UI33" s="333"/>
      <c r="UJ33" s="333"/>
      <c r="UK33" s="333"/>
      <c r="UL33" s="333"/>
      <c r="UM33" s="333"/>
      <c r="UN33" s="333"/>
      <c r="UO33" s="333"/>
      <c r="UP33" s="333"/>
      <c r="UQ33" s="333"/>
      <c r="UR33" s="333"/>
      <c r="US33" s="333"/>
      <c r="UT33" s="333"/>
      <c r="UU33" s="333"/>
      <c r="UV33" s="333"/>
      <c r="UW33" s="333"/>
      <c r="UX33" s="333"/>
      <c r="UY33" s="333"/>
      <c r="UZ33" s="333"/>
      <c r="VA33" s="333"/>
      <c r="VB33" s="333"/>
      <c r="VC33" s="333"/>
      <c r="VD33" s="333"/>
      <c r="VE33" s="333"/>
      <c r="VF33" s="333"/>
      <c r="VG33" s="333"/>
      <c r="VH33" s="333"/>
      <c r="VI33" s="333"/>
      <c r="VJ33" s="333"/>
      <c r="VK33" s="333"/>
      <c r="VL33" s="333"/>
      <c r="VM33" s="333"/>
      <c r="VN33" s="333"/>
      <c r="VO33" s="333"/>
      <c r="VP33" s="333"/>
      <c r="VQ33" s="333"/>
      <c r="VR33" s="333"/>
      <c r="VS33" s="333"/>
      <c r="VT33" s="333"/>
      <c r="VU33" s="333"/>
      <c r="VV33" s="333"/>
      <c r="VW33" s="333"/>
      <c r="VX33" s="333"/>
      <c r="VY33" s="333"/>
      <c r="VZ33" s="333"/>
      <c r="WA33" s="333"/>
      <c r="WB33" s="333"/>
      <c r="WC33" s="333"/>
      <c r="WD33" s="333"/>
      <c r="WE33" s="333"/>
      <c r="WF33" s="333"/>
      <c r="WG33" s="333"/>
      <c r="WH33" s="333"/>
      <c r="WI33" s="333"/>
      <c r="WJ33" s="333"/>
      <c r="WK33" s="333"/>
      <c r="WL33" s="333"/>
      <c r="WM33" s="333"/>
      <c r="WN33" s="333"/>
      <c r="WO33" s="333"/>
      <c r="WP33" s="333"/>
      <c r="WQ33" s="333"/>
      <c r="WR33" s="333"/>
      <c r="WS33" s="333"/>
      <c r="WT33" s="333"/>
      <c r="WU33" s="333"/>
      <c r="WV33" s="333"/>
      <c r="WW33" s="333"/>
      <c r="WX33" s="333"/>
      <c r="WY33" s="333"/>
      <c r="WZ33" s="333"/>
      <c r="XA33" s="333"/>
      <c r="XB33" s="333"/>
      <c r="XC33" s="333"/>
      <c r="XD33" s="333"/>
      <c r="XE33" s="333"/>
      <c r="XF33" s="333"/>
      <c r="XG33" s="333"/>
      <c r="XH33" s="333"/>
      <c r="XI33" s="333"/>
      <c r="XJ33" s="333"/>
      <c r="XK33" s="333"/>
      <c r="XL33" s="333"/>
      <c r="XM33" s="333"/>
      <c r="XN33" s="333"/>
      <c r="XO33" s="333"/>
      <c r="XP33" s="333"/>
      <c r="XQ33" s="333"/>
      <c r="XR33" s="333"/>
      <c r="XS33" s="333"/>
      <c r="XT33" s="333"/>
      <c r="XU33" s="333"/>
      <c r="XV33" s="333"/>
      <c r="XW33" s="333"/>
      <c r="XX33" s="333"/>
      <c r="XY33" s="333"/>
      <c r="XZ33" s="333"/>
      <c r="YA33" s="333"/>
      <c r="YB33" s="333"/>
      <c r="YC33" s="333"/>
      <c r="YD33" s="333"/>
      <c r="YE33" s="333"/>
      <c r="YF33" s="333"/>
      <c r="YG33" s="333"/>
      <c r="YH33" s="333"/>
      <c r="YI33" s="333"/>
      <c r="YJ33" s="333"/>
      <c r="YK33" s="333"/>
      <c r="YL33" s="333"/>
      <c r="YM33" s="333"/>
      <c r="YN33" s="333"/>
      <c r="YO33" s="333"/>
      <c r="YP33" s="333"/>
      <c r="YQ33" s="333"/>
      <c r="YR33" s="333"/>
      <c r="YS33" s="333"/>
      <c r="YT33" s="333"/>
      <c r="YU33" s="333"/>
      <c r="YV33" s="333"/>
      <c r="YW33" s="333"/>
      <c r="YX33" s="333"/>
      <c r="YY33" s="333"/>
      <c r="YZ33" s="333"/>
      <c r="ZA33" s="333"/>
      <c r="ZB33" s="333"/>
      <c r="ZC33" s="333"/>
      <c r="ZD33" s="333"/>
      <c r="ZE33" s="333"/>
      <c r="ZF33" s="333"/>
      <c r="ZG33" s="333"/>
      <c r="ZH33" s="333"/>
      <c r="ZI33" s="333"/>
      <c r="ZJ33" s="333"/>
      <c r="ZK33" s="333"/>
      <c r="ZL33" s="333"/>
      <c r="ZM33" s="333"/>
      <c r="ZN33" s="333"/>
      <c r="ZO33" s="333"/>
      <c r="ZP33" s="333"/>
      <c r="ZQ33" s="333"/>
      <c r="ZR33" s="333"/>
      <c r="ZS33" s="333"/>
      <c r="ZT33" s="333"/>
      <c r="ZU33" s="333"/>
      <c r="ZV33" s="333"/>
      <c r="ZW33" s="333"/>
      <c r="ZX33" s="333"/>
      <c r="ZY33" s="333"/>
      <c r="ZZ33" s="333"/>
      <c r="AAA33" s="333"/>
      <c r="AAB33" s="333"/>
      <c r="AAC33" s="333"/>
      <c r="AAD33" s="333"/>
      <c r="AAE33" s="333"/>
      <c r="AAF33" s="333"/>
      <c r="AAG33" s="333"/>
      <c r="AAH33" s="333"/>
      <c r="AAI33" s="333"/>
      <c r="AAJ33" s="333"/>
      <c r="AAK33" s="333"/>
      <c r="AAL33" s="333"/>
      <c r="AAM33" s="333"/>
      <c r="AAN33" s="333"/>
      <c r="AAO33" s="333"/>
      <c r="AAP33" s="333"/>
      <c r="AAQ33" s="333"/>
      <c r="AAR33" s="333"/>
      <c r="AAS33" s="333"/>
      <c r="AAT33" s="333"/>
      <c r="AAU33" s="333"/>
      <c r="AAV33" s="333"/>
      <c r="AAW33" s="333"/>
      <c r="AAX33" s="333"/>
      <c r="AAY33" s="333"/>
      <c r="AAZ33" s="333"/>
      <c r="ABA33" s="333"/>
      <c r="ABB33" s="333"/>
      <c r="ABC33" s="333"/>
      <c r="ABD33" s="333"/>
      <c r="ABE33" s="333"/>
      <c r="ABF33" s="333"/>
      <c r="ABG33" s="333"/>
      <c r="ABH33" s="333"/>
      <c r="ABI33" s="333"/>
      <c r="ABJ33" s="333"/>
      <c r="ABK33" s="333"/>
      <c r="ABL33" s="333"/>
      <c r="ABM33" s="333"/>
      <c r="ABN33" s="333"/>
      <c r="ABO33" s="333"/>
      <c r="ABP33" s="333"/>
      <c r="ABQ33" s="333"/>
      <c r="ABR33" s="333"/>
      <c r="ABS33" s="333"/>
      <c r="ABT33" s="333"/>
      <c r="ABU33" s="333"/>
      <c r="ABV33" s="333"/>
      <c r="ABW33" s="333"/>
      <c r="ABX33" s="333"/>
      <c r="ABY33" s="333"/>
      <c r="ABZ33" s="333"/>
      <c r="ACA33" s="333"/>
      <c r="ACB33" s="333"/>
      <c r="ACC33" s="333"/>
      <c r="ACD33" s="333"/>
      <c r="ACE33" s="333"/>
      <c r="ACF33" s="333"/>
      <c r="ACG33" s="333"/>
      <c r="ACH33" s="333"/>
      <c r="ACI33" s="333"/>
      <c r="ACJ33" s="333"/>
      <c r="ACK33" s="333"/>
      <c r="ACL33" s="333"/>
      <c r="ACM33" s="333"/>
      <c r="ACN33" s="333"/>
      <c r="ACO33" s="333"/>
      <c r="ACP33" s="333"/>
      <c r="ACQ33" s="333"/>
      <c r="ACR33" s="333"/>
      <c r="ACS33" s="333"/>
      <c r="ACT33" s="333"/>
      <c r="ACU33" s="333"/>
      <c r="ACV33" s="333"/>
      <c r="ACW33" s="333"/>
      <c r="ACX33" s="333"/>
      <c r="ACY33" s="333"/>
      <c r="ACZ33" s="333"/>
      <c r="ADA33" s="333"/>
      <c r="ADB33" s="333"/>
      <c r="ADC33" s="333"/>
      <c r="ADD33" s="333"/>
      <c r="ADE33" s="333"/>
      <c r="ADF33" s="333"/>
      <c r="ADG33" s="333"/>
      <c r="ADH33" s="333"/>
      <c r="ADI33" s="333"/>
      <c r="ADJ33" s="333"/>
      <c r="ADK33" s="333"/>
      <c r="ADL33" s="333"/>
      <c r="ADM33" s="333"/>
      <c r="ADN33" s="333"/>
      <c r="ADO33" s="333"/>
      <c r="ADP33" s="333"/>
      <c r="ADQ33" s="333"/>
      <c r="ADR33" s="333"/>
      <c r="ADS33" s="333"/>
      <c r="ADT33" s="333"/>
      <c r="ADU33" s="333"/>
      <c r="ADV33" s="333"/>
      <c r="ADW33" s="333"/>
      <c r="ADX33" s="333"/>
      <c r="ADY33" s="333"/>
      <c r="ADZ33" s="333"/>
      <c r="AEA33" s="333"/>
      <c r="AEB33" s="333"/>
      <c r="AEC33" s="333"/>
      <c r="AED33" s="333"/>
      <c r="AEE33" s="333"/>
      <c r="AEF33" s="333"/>
      <c r="AEG33" s="333"/>
      <c r="AEH33" s="333"/>
      <c r="AEI33" s="333"/>
      <c r="AEJ33" s="333"/>
      <c r="AEK33" s="333"/>
      <c r="AEL33" s="333"/>
      <c r="AEM33" s="333"/>
      <c r="AEN33" s="333"/>
      <c r="AEO33" s="333"/>
      <c r="AEP33" s="333"/>
      <c r="AEQ33" s="333"/>
      <c r="AER33" s="333"/>
      <c r="AES33" s="333"/>
      <c r="AET33" s="333"/>
      <c r="AEU33" s="333"/>
      <c r="AEV33" s="333"/>
      <c r="AEW33" s="333"/>
      <c r="AEX33" s="333"/>
      <c r="AEY33" s="333"/>
      <c r="AEZ33" s="333"/>
      <c r="AFA33" s="333"/>
      <c r="AFB33" s="333"/>
      <c r="AFC33" s="333"/>
      <c r="AFD33" s="333"/>
      <c r="AFE33" s="333"/>
      <c r="AFF33" s="333"/>
      <c r="AFG33" s="333"/>
      <c r="AFH33" s="333"/>
      <c r="AFI33" s="333"/>
      <c r="AFJ33" s="333"/>
      <c r="AFK33" s="333"/>
      <c r="AFL33" s="333"/>
      <c r="AFM33" s="333"/>
      <c r="AFN33" s="333"/>
      <c r="AFO33" s="333"/>
      <c r="AFP33" s="333"/>
      <c r="AFQ33" s="333"/>
      <c r="AFR33" s="333"/>
      <c r="AFS33" s="333"/>
      <c r="AFT33" s="333"/>
      <c r="AFU33" s="333"/>
      <c r="AFV33" s="333"/>
      <c r="AFW33" s="333"/>
      <c r="AFX33" s="333"/>
      <c r="AFY33" s="333"/>
      <c r="AFZ33" s="333"/>
      <c r="AGA33" s="333"/>
      <c r="AGB33" s="333"/>
      <c r="AGC33" s="333"/>
      <c r="AGD33" s="333"/>
      <c r="AGE33" s="333"/>
      <c r="AGF33" s="333"/>
      <c r="AGG33" s="333"/>
      <c r="AGH33" s="333"/>
      <c r="AGI33" s="333"/>
      <c r="AGJ33" s="333"/>
      <c r="AGK33" s="333"/>
      <c r="AGL33" s="333"/>
      <c r="AGM33" s="333"/>
      <c r="AGN33" s="333"/>
      <c r="AGO33" s="333"/>
      <c r="AGP33" s="333"/>
      <c r="AGQ33" s="333"/>
      <c r="AGR33" s="333"/>
      <c r="AGS33" s="333"/>
      <c r="AGT33" s="333"/>
      <c r="AGU33" s="333"/>
      <c r="AGV33" s="333"/>
      <c r="AGW33" s="333"/>
      <c r="AGX33" s="333"/>
      <c r="AGY33" s="333"/>
      <c r="AGZ33" s="333"/>
      <c r="AHA33" s="333"/>
      <c r="AHB33" s="333"/>
      <c r="AHC33" s="333"/>
      <c r="AHD33" s="333"/>
      <c r="AHE33" s="333"/>
      <c r="AHF33" s="333"/>
      <c r="AHG33" s="333"/>
      <c r="AHH33" s="333"/>
      <c r="AHI33" s="333"/>
      <c r="AHJ33" s="333"/>
      <c r="AHK33" s="333"/>
      <c r="AHL33" s="333"/>
      <c r="AHM33" s="333"/>
      <c r="AHN33" s="333"/>
      <c r="AHO33" s="333"/>
      <c r="AHP33" s="333"/>
      <c r="AHQ33" s="333"/>
      <c r="AHR33" s="333"/>
      <c r="AHS33" s="333"/>
      <c r="AHT33" s="333"/>
      <c r="AHU33" s="333"/>
      <c r="AHV33" s="333"/>
      <c r="AHW33" s="333"/>
      <c r="AHX33" s="333"/>
      <c r="AHY33" s="333"/>
      <c r="AHZ33" s="333"/>
      <c r="AIA33" s="333"/>
      <c r="AIB33" s="333"/>
      <c r="AIC33" s="333"/>
      <c r="AID33" s="333"/>
      <c r="AIE33" s="333"/>
      <c r="AIF33" s="333"/>
      <c r="AIG33" s="333"/>
      <c r="AIH33" s="333"/>
      <c r="AII33" s="333"/>
      <c r="AIJ33" s="333"/>
      <c r="AIK33" s="333"/>
      <c r="AIL33" s="333"/>
      <c r="AIM33" s="333"/>
      <c r="AIN33" s="333"/>
      <c r="AIO33" s="333"/>
      <c r="AIP33" s="333"/>
      <c r="AIQ33" s="333"/>
      <c r="AIR33" s="333"/>
      <c r="AIS33" s="333"/>
      <c r="AIT33" s="333"/>
      <c r="AIU33" s="333"/>
      <c r="AIV33" s="333"/>
      <c r="AIW33" s="333"/>
      <c r="AIX33" s="333"/>
      <c r="AIY33" s="333"/>
      <c r="AIZ33" s="333"/>
      <c r="AJA33" s="333"/>
      <c r="AJB33" s="333"/>
      <c r="AJC33" s="333"/>
      <c r="AJD33" s="333"/>
      <c r="AJE33" s="333"/>
      <c r="AJF33" s="333"/>
      <c r="AJG33" s="333"/>
      <c r="AJH33" s="333"/>
      <c r="AJI33" s="333"/>
      <c r="AJJ33" s="333"/>
      <c r="AJK33" s="333"/>
      <c r="AJL33" s="333"/>
      <c r="AJM33" s="333"/>
      <c r="AJN33" s="333"/>
      <c r="AJO33" s="333"/>
      <c r="AJP33" s="333"/>
      <c r="AJQ33" s="333"/>
      <c r="AJR33" s="333"/>
      <c r="AJS33" s="333"/>
      <c r="AJT33" s="333"/>
      <c r="AJU33" s="333"/>
      <c r="AJV33" s="333"/>
      <c r="AJW33" s="333"/>
      <c r="AJX33" s="333"/>
      <c r="AJY33" s="333"/>
      <c r="AJZ33" s="333"/>
      <c r="AKA33" s="333"/>
      <c r="AKB33" s="333"/>
      <c r="AKC33" s="333"/>
      <c r="AKD33" s="333"/>
      <c r="AKE33" s="333"/>
      <c r="AKF33" s="333"/>
      <c r="AKG33" s="333"/>
      <c r="AKH33" s="333"/>
      <c r="AKI33" s="333"/>
      <c r="AKJ33" s="333"/>
      <c r="AKK33" s="333"/>
      <c r="AKL33" s="333"/>
      <c r="AKM33" s="333"/>
      <c r="AKN33" s="333"/>
      <c r="AKO33" s="333"/>
      <c r="AKP33" s="333"/>
      <c r="AKQ33" s="333"/>
      <c r="AKR33" s="333"/>
      <c r="AKS33" s="333"/>
      <c r="AKT33" s="333"/>
      <c r="AKU33" s="333"/>
      <c r="AKV33" s="333"/>
      <c r="AKW33" s="333"/>
      <c r="AKX33" s="333"/>
      <c r="AKY33" s="333"/>
      <c r="AKZ33" s="333"/>
      <c r="ALA33" s="333"/>
      <c r="ALB33" s="333"/>
      <c r="ALC33" s="333"/>
      <c r="ALD33" s="333"/>
      <c r="ALE33" s="333"/>
      <c r="ALF33" s="333"/>
      <c r="ALG33" s="333"/>
      <c r="ALH33" s="333"/>
      <c r="ALI33" s="333"/>
      <c r="ALJ33" s="333"/>
      <c r="ALK33" s="333"/>
      <c r="ALL33" s="333"/>
      <c r="ALM33" s="333"/>
      <c r="ALN33" s="333"/>
      <c r="ALO33" s="333"/>
      <c r="ALP33" s="333"/>
      <c r="ALQ33" s="333"/>
      <c r="ALR33" s="333"/>
      <c r="ALS33" s="333"/>
      <c r="ALT33" s="333"/>
      <c r="ALU33" s="333"/>
      <c r="ALV33" s="333"/>
      <c r="ALW33" s="333"/>
      <c r="ALX33" s="333"/>
      <c r="ALY33" s="333"/>
      <c r="ALZ33" s="333"/>
      <c r="AMA33" s="333"/>
      <c r="AMB33" s="333"/>
      <c r="AMC33" s="333"/>
      <c r="AMD33" s="333"/>
      <c r="AME33" s="333"/>
      <c r="AMF33" s="333"/>
      <c r="AMG33" s="333"/>
      <c r="AMH33" s="333"/>
      <c r="AMI33" s="333"/>
      <c r="AMJ33" s="333"/>
      <c r="AMK33" s="333"/>
      <c r="AML33" s="333"/>
      <c r="AMM33" s="333"/>
      <c r="AMN33" s="333"/>
      <c r="AMO33" s="333"/>
    </row>
    <row r="34" spans="1:8192 8215:9215 9238:10238 10261:11261 11284:12284 12307:13307 13330:14330 14353:15353 15376:16376" s="265" customFormat="1" ht="14.25" x14ac:dyDescent="0.2">
      <c r="A34" s="88">
        <v>45643</v>
      </c>
      <c r="B34" s="42" t="s">
        <v>163</v>
      </c>
      <c r="C34" s="480">
        <v>27752</v>
      </c>
      <c r="D34" s="502">
        <v>663223788</v>
      </c>
      <c r="E34" s="503">
        <v>110.52</v>
      </c>
      <c r="F34" s="504"/>
      <c r="G34" s="541"/>
      <c r="H34" s="542"/>
      <c r="I34" s="517"/>
      <c r="J34" s="517"/>
      <c r="K34" s="543"/>
      <c r="L34" s="519">
        <v>110.52</v>
      </c>
      <c r="M34" s="520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>
        <v>92.1</v>
      </c>
      <c r="AB34" s="517"/>
      <c r="AC34" s="518"/>
      <c r="AD34" s="130">
        <v>18.420000000000002</v>
      </c>
      <c r="AE34" s="97" t="s">
        <v>84</v>
      </c>
      <c r="AF34" s="80">
        <f t="shared" si="0"/>
        <v>0</v>
      </c>
      <c r="AG34" s="335"/>
      <c r="AH34" s="129"/>
      <c r="AI34" s="337"/>
      <c r="AJ34" s="338"/>
      <c r="AK34" s="338"/>
      <c r="AL34" s="338"/>
      <c r="AM34" s="339"/>
      <c r="BJ34" s="340"/>
      <c r="BL34" s="335"/>
      <c r="BM34" s="336"/>
      <c r="BN34" s="337"/>
      <c r="BO34" s="338"/>
      <c r="BP34" s="338"/>
      <c r="BQ34" s="338"/>
      <c r="BR34" s="339"/>
      <c r="CO34" s="340"/>
      <c r="CQ34" s="335"/>
      <c r="CR34" s="336"/>
      <c r="CS34" s="337"/>
      <c r="CT34" s="338"/>
      <c r="CU34" s="338"/>
      <c r="CV34" s="338"/>
      <c r="CW34" s="339"/>
      <c r="DT34" s="340"/>
      <c r="DV34" s="335"/>
      <c r="DW34" s="336"/>
      <c r="DX34" s="337"/>
      <c r="DY34" s="338"/>
      <c r="DZ34" s="338"/>
      <c r="EA34" s="338"/>
      <c r="EB34" s="339"/>
      <c r="EY34" s="340"/>
      <c r="FA34" s="335"/>
      <c r="FB34" s="336"/>
      <c r="FC34" s="337"/>
      <c r="FD34" s="338"/>
      <c r="FE34" s="338"/>
      <c r="FF34" s="338"/>
      <c r="FG34" s="339"/>
      <c r="GD34" s="340"/>
      <c r="GF34" s="335"/>
      <c r="GG34" s="336"/>
      <c r="GH34" s="337"/>
      <c r="GI34" s="338"/>
      <c r="GJ34" s="338"/>
      <c r="GK34" s="338"/>
      <c r="GL34" s="339"/>
      <c r="HI34" s="340"/>
      <c r="HK34" s="335"/>
      <c r="HL34" s="336"/>
      <c r="HM34" s="337"/>
      <c r="HN34" s="338"/>
      <c r="HO34" s="338"/>
      <c r="HP34" s="338"/>
      <c r="HQ34" s="339"/>
      <c r="IN34" s="340"/>
      <c r="IP34" s="335"/>
      <c r="IQ34" s="336"/>
      <c r="IR34" s="337"/>
      <c r="IS34" s="338"/>
      <c r="IT34" s="338"/>
      <c r="IU34" s="338"/>
      <c r="IV34" s="339"/>
      <c r="JS34" s="340"/>
      <c r="JU34" s="335"/>
      <c r="JV34" s="336"/>
      <c r="JW34" s="337"/>
      <c r="JX34" s="338"/>
      <c r="JY34" s="338"/>
      <c r="JZ34" s="338"/>
      <c r="KA34" s="339"/>
      <c r="KX34" s="340"/>
      <c r="KZ34" s="335"/>
      <c r="LA34" s="336"/>
      <c r="LB34" s="337"/>
      <c r="LC34" s="338"/>
      <c r="LD34" s="338"/>
      <c r="LE34" s="338"/>
      <c r="LF34" s="339"/>
      <c r="MC34" s="340"/>
      <c r="ME34" s="335"/>
      <c r="MF34" s="336"/>
      <c r="MG34" s="337"/>
      <c r="MH34" s="338"/>
      <c r="MI34" s="338"/>
      <c r="MJ34" s="338"/>
      <c r="MK34" s="339"/>
      <c r="NH34" s="340"/>
      <c r="NJ34" s="335"/>
      <c r="NK34" s="336"/>
      <c r="NL34" s="337"/>
      <c r="NM34" s="338"/>
      <c r="NN34" s="338"/>
      <c r="NO34" s="338"/>
      <c r="NP34" s="339"/>
      <c r="OM34" s="340"/>
      <c r="OO34" s="335"/>
      <c r="OP34" s="336"/>
      <c r="OQ34" s="337"/>
      <c r="OR34" s="338"/>
      <c r="OS34" s="338"/>
      <c r="OT34" s="338"/>
      <c r="OU34" s="339"/>
      <c r="PR34" s="340"/>
      <c r="PT34" s="335"/>
      <c r="PU34" s="336"/>
      <c r="PV34" s="337"/>
      <c r="PW34" s="338"/>
      <c r="PX34" s="338"/>
      <c r="PY34" s="338"/>
      <c r="PZ34" s="339"/>
      <c r="QW34" s="340"/>
      <c r="QY34" s="335"/>
      <c r="QZ34" s="336"/>
      <c r="RA34" s="337"/>
      <c r="RB34" s="338"/>
      <c r="RC34" s="338"/>
      <c r="RD34" s="338"/>
      <c r="RE34" s="339"/>
      <c r="SB34" s="340"/>
      <c r="SD34" s="335"/>
      <c r="SE34" s="336"/>
      <c r="SF34" s="337"/>
      <c r="SG34" s="338"/>
      <c r="SH34" s="338"/>
      <c r="SI34" s="338"/>
      <c r="SJ34" s="339"/>
      <c r="TG34" s="340"/>
      <c r="TI34" s="335"/>
      <c r="TJ34" s="336"/>
      <c r="TK34" s="337"/>
      <c r="TL34" s="338"/>
      <c r="TM34" s="338"/>
      <c r="TN34" s="338"/>
      <c r="TO34" s="339"/>
      <c r="UL34" s="340"/>
      <c r="UN34" s="335"/>
      <c r="UO34" s="336"/>
      <c r="UP34" s="337"/>
      <c r="UQ34" s="338"/>
      <c r="UR34" s="338"/>
      <c r="US34" s="338"/>
      <c r="UT34" s="339"/>
      <c r="VQ34" s="340"/>
      <c r="VS34" s="335"/>
      <c r="VT34" s="336"/>
      <c r="VU34" s="337"/>
      <c r="VV34" s="338"/>
      <c r="VW34" s="338"/>
      <c r="VX34" s="338"/>
      <c r="VY34" s="339"/>
      <c r="WV34" s="340"/>
      <c r="WX34" s="335"/>
      <c r="WY34" s="336"/>
      <c r="WZ34" s="337"/>
      <c r="XA34" s="338"/>
      <c r="XB34" s="338"/>
      <c r="XC34" s="338"/>
      <c r="XD34" s="339"/>
      <c r="YA34" s="340"/>
      <c r="YC34" s="335"/>
      <c r="YD34" s="336"/>
      <c r="YE34" s="337"/>
      <c r="YF34" s="338"/>
      <c r="YG34" s="338"/>
      <c r="YH34" s="338"/>
      <c r="YI34" s="339"/>
      <c r="ZF34" s="340"/>
      <c r="ZH34" s="335"/>
      <c r="ZI34" s="336"/>
      <c r="ZJ34" s="337"/>
      <c r="ZK34" s="338"/>
      <c r="ZL34" s="338"/>
      <c r="ZM34" s="338"/>
      <c r="ZN34" s="339"/>
      <c r="AAK34" s="340"/>
      <c r="AAM34" s="335"/>
      <c r="AAN34" s="336"/>
      <c r="AAO34" s="337"/>
      <c r="AAP34" s="338"/>
      <c r="AAQ34" s="338"/>
      <c r="AAR34" s="338"/>
      <c r="AAS34" s="339"/>
      <c r="ABP34" s="340"/>
      <c r="ABR34" s="335"/>
      <c r="ABS34" s="336"/>
      <c r="ABT34" s="337"/>
      <c r="ABU34" s="338"/>
      <c r="ABV34" s="338"/>
      <c r="ABW34" s="338"/>
      <c r="ABX34" s="339"/>
      <c r="ACU34" s="340"/>
      <c r="ACW34" s="335"/>
      <c r="ACX34" s="336"/>
      <c r="ACY34" s="337"/>
      <c r="ACZ34" s="338"/>
      <c r="ADA34" s="338"/>
      <c r="ADB34" s="338"/>
      <c r="ADC34" s="339"/>
      <c r="ADZ34" s="340"/>
      <c r="AEB34" s="335"/>
      <c r="AEC34" s="336"/>
      <c r="AED34" s="337"/>
      <c r="AEE34" s="338"/>
      <c r="AEF34" s="338"/>
      <c r="AEG34" s="338"/>
      <c r="AEH34" s="339"/>
      <c r="AFE34" s="340"/>
      <c r="AFG34" s="335"/>
      <c r="AFH34" s="336"/>
      <c r="AFI34" s="337"/>
      <c r="AFJ34" s="338"/>
      <c r="AFK34" s="338"/>
      <c r="AFL34" s="338"/>
      <c r="AFM34" s="339"/>
      <c r="AGJ34" s="340"/>
      <c r="AGL34" s="335"/>
      <c r="AGM34" s="336"/>
      <c r="AGN34" s="337"/>
      <c r="AGO34" s="338"/>
      <c r="AGP34" s="338"/>
      <c r="AGQ34" s="338"/>
      <c r="AGR34" s="339"/>
      <c r="AHO34" s="340"/>
      <c r="AHQ34" s="335"/>
      <c r="AHR34" s="336"/>
      <c r="AHS34" s="337"/>
      <c r="AHT34" s="338"/>
      <c r="AHU34" s="338"/>
      <c r="AHV34" s="338"/>
      <c r="AHW34" s="339"/>
      <c r="AIT34" s="340"/>
      <c r="AIV34" s="335"/>
      <c r="AIW34" s="336"/>
      <c r="AIX34" s="337"/>
      <c r="AIY34" s="338"/>
      <c r="AIZ34" s="338"/>
      <c r="AJA34" s="338"/>
      <c r="AJB34" s="339"/>
      <c r="AJY34" s="340"/>
      <c r="AKA34" s="335"/>
      <c r="AKB34" s="336"/>
      <c r="AKC34" s="337"/>
      <c r="AKD34" s="338"/>
      <c r="AKE34" s="338"/>
      <c r="AKF34" s="338"/>
      <c r="AKG34" s="339"/>
      <c r="ALD34" s="340"/>
      <c r="ALF34" s="335"/>
      <c r="ALG34" s="336"/>
      <c r="ALH34" s="337"/>
      <c r="ALI34" s="338"/>
      <c r="ALJ34" s="338"/>
      <c r="ALK34" s="338"/>
      <c r="ALL34" s="339"/>
      <c r="AMI34" s="340"/>
      <c r="AMK34" s="335"/>
      <c r="AML34" s="336"/>
      <c r="AMM34" s="337"/>
      <c r="AMN34" s="338"/>
      <c r="AMO34" s="338"/>
      <c r="AMP34" s="338"/>
      <c r="AMQ34" s="339"/>
      <c r="ANN34" s="340"/>
      <c r="ANP34" s="335"/>
      <c r="ANQ34" s="336"/>
      <c r="ANR34" s="337"/>
      <c r="ANS34" s="338"/>
      <c r="ANT34" s="338"/>
      <c r="ANU34" s="338"/>
      <c r="ANV34" s="339"/>
      <c r="AOS34" s="340"/>
      <c r="AOU34" s="335"/>
      <c r="AOV34" s="336"/>
      <c r="AOW34" s="337"/>
      <c r="AOX34" s="338"/>
      <c r="AOY34" s="338"/>
      <c r="AOZ34" s="338"/>
      <c r="APA34" s="339"/>
      <c r="APX34" s="340"/>
      <c r="APZ34" s="335"/>
      <c r="AQA34" s="336"/>
      <c r="AQB34" s="337"/>
      <c r="AQC34" s="338"/>
      <c r="AQD34" s="338"/>
      <c r="AQE34" s="338"/>
      <c r="AQF34" s="339"/>
      <c r="ARC34" s="340"/>
      <c r="ARE34" s="335"/>
      <c r="ARF34" s="336"/>
      <c r="ARG34" s="337"/>
      <c r="ARH34" s="338"/>
      <c r="ARI34" s="338"/>
      <c r="ARJ34" s="338"/>
      <c r="ARK34" s="339"/>
      <c r="ASH34" s="340"/>
      <c r="ASJ34" s="335"/>
      <c r="ASK34" s="336"/>
      <c r="ASL34" s="337"/>
      <c r="ASM34" s="338"/>
      <c r="ASN34" s="338"/>
      <c r="ASO34" s="338"/>
      <c r="ASP34" s="339"/>
      <c r="ATM34" s="340"/>
      <c r="ATO34" s="335"/>
      <c r="ATP34" s="336"/>
      <c r="ATQ34" s="337"/>
      <c r="ATR34" s="338"/>
      <c r="ATS34" s="338"/>
      <c r="ATT34" s="338"/>
      <c r="ATU34" s="339"/>
      <c r="AUR34" s="340"/>
      <c r="AUT34" s="335"/>
      <c r="AUU34" s="336"/>
      <c r="AUV34" s="337"/>
      <c r="AUW34" s="338"/>
      <c r="AUX34" s="338"/>
      <c r="AUY34" s="338"/>
      <c r="AUZ34" s="339"/>
      <c r="AVW34" s="340"/>
      <c r="AVY34" s="335"/>
      <c r="AVZ34" s="336"/>
      <c r="AWA34" s="337"/>
      <c r="AWB34" s="338"/>
      <c r="AWC34" s="338"/>
      <c r="AWD34" s="338"/>
      <c r="AWE34" s="339"/>
      <c r="AXB34" s="340"/>
      <c r="AXD34" s="335"/>
      <c r="AXE34" s="336"/>
      <c r="AXF34" s="337"/>
      <c r="AXG34" s="338"/>
      <c r="AXH34" s="338"/>
      <c r="AXI34" s="338"/>
      <c r="AXJ34" s="339"/>
      <c r="AYG34" s="340"/>
      <c r="AYI34" s="335"/>
      <c r="AYJ34" s="336"/>
      <c r="AYK34" s="337"/>
      <c r="AYL34" s="338"/>
      <c r="AYM34" s="338"/>
      <c r="AYN34" s="338"/>
      <c r="AYO34" s="339"/>
      <c r="AZL34" s="340"/>
      <c r="AZN34" s="335"/>
      <c r="AZO34" s="336"/>
      <c r="AZP34" s="337"/>
      <c r="AZQ34" s="338"/>
      <c r="AZR34" s="338"/>
      <c r="AZS34" s="338"/>
      <c r="AZT34" s="339"/>
      <c r="BAQ34" s="340"/>
      <c r="BAS34" s="335"/>
      <c r="BAT34" s="336"/>
      <c r="BAU34" s="337"/>
      <c r="BAV34" s="338"/>
      <c r="BAW34" s="338"/>
      <c r="BAX34" s="338"/>
      <c r="BAY34" s="339"/>
      <c r="BBV34" s="340"/>
      <c r="BBX34" s="335"/>
      <c r="BBY34" s="336"/>
      <c r="BBZ34" s="337"/>
      <c r="BCA34" s="338"/>
      <c r="BCB34" s="338"/>
      <c r="BCC34" s="338"/>
      <c r="BCD34" s="339"/>
      <c r="BDA34" s="340"/>
      <c r="BDC34" s="335"/>
      <c r="BDD34" s="336"/>
      <c r="BDE34" s="337"/>
      <c r="BDF34" s="338"/>
      <c r="BDG34" s="338"/>
      <c r="BDH34" s="338"/>
      <c r="BDI34" s="339"/>
      <c r="BEF34" s="340"/>
      <c r="BEH34" s="335"/>
      <c r="BEI34" s="336"/>
      <c r="BEJ34" s="337"/>
      <c r="BEK34" s="338"/>
      <c r="BEL34" s="338"/>
      <c r="BEM34" s="338"/>
      <c r="BEN34" s="339"/>
      <c r="BFK34" s="340"/>
      <c r="BFM34" s="335"/>
      <c r="BFN34" s="336"/>
      <c r="BFO34" s="337"/>
      <c r="BFP34" s="338"/>
      <c r="BFQ34" s="338"/>
      <c r="BFR34" s="338"/>
      <c r="BFS34" s="339"/>
      <c r="BGP34" s="340"/>
      <c r="BGR34" s="335"/>
      <c r="BGS34" s="336"/>
      <c r="BGT34" s="337"/>
      <c r="BGU34" s="338"/>
      <c r="BGV34" s="338"/>
      <c r="BGW34" s="338"/>
      <c r="BGX34" s="339"/>
      <c r="BHU34" s="340"/>
      <c r="BHW34" s="335"/>
      <c r="BHX34" s="336"/>
      <c r="BHY34" s="337"/>
      <c r="BHZ34" s="338"/>
      <c r="BIA34" s="338"/>
      <c r="BIB34" s="338"/>
      <c r="BIC34" s="339"/>
      <c r="BIZ34" s="340"/>
      <c r="BJB34" s="335"/>
      <c r="BJC34" s="336"/>
      <c r="BJD34" s="337"/>
      <c r="BJE34" s="338"/>
      <c r="BJF34" s="338"/>
      <c r="BJG34" s="338"/>
      <c r="BJH34" s="339"/>
      <c r="BKE34" s="340"/>
      <c r="BKG34" s="335"/>
      <c r="BKH34" s="336"/>
      <c r="BKI34" s="337"/>
      <c r="BKJ34" s="338"/>
      <c r="BKK34" s="338"/>
      <c r="BKL34" s="338"/>
      <c r="BKM34" s="339"/>
      <c r="BLJ34" s="340"/>
      <c r="BLL34" s="335"/>
      <c r="BLM34" s="336"/>
      <c r="BLN34" s="337"/>
      <c r="BLO34" s="338"/>
      <c r="BLP34" s="338"/>
      <c r="BLQ34" s="338"/>
      <c r="BLR34" s="339"/>
      <c r="BMO34" s="340"/>
      <c r="BMQ34" s="335"/>
      <c r="BMR34" s="336"/>
      <c r="BMS34" s="337"/>
      <c r="BMT34" s="338"/>
      <c r="BMU34" s="338"/>
      <c r="BMV34" s="338"/>
      <c r="BMW34" s="339"/>
      <c r="BNT34" s="340"/>
      <c r="BNV34" s="335"/>
      <c r="BNW34" s="336"/>
      <c r="BNX34" s="337"/>
      <c r="BNY34" s="338"/>
      <c r="BNZ34" s="338"/>
      <c r="BOA34" s="338"/>
      <c r="BOB34" s="339"/>
      <c r="BOY34" s="340"/>
      <c r="BPA34" s="335"/>
      <c r="BPB34" s="336"/>
      <c r="BPC34" s="337"/>
      <c r="BPD34" s="338"/>
      <c r="BPE34" s="338"/>
      <c r="BPF34" s="338"/>
      <c r="BPG34" s="339"/>
      <c r="BQD34" s="340"/>
      <c r="BQF34" s="335"/>
      <c r="BQG34" s="336"/>
      <c r="BQH34" s="337"/>
      <c r="BQI34" s="338"/>
      <c r="BQJ34" s="338"/>
      <c r="BQK34" s="338"/>
      <c r="BQL34" s="339"/>
      <c r="BRI34" s="340"/>
      <c r="BRK34" s="335"/>
      <c r="BRL34" s="336"/>
      <c r="BRM34" s="337"/>
      <c r="BRN34" s="338"/>
      <c r="BRO34" s="338"/>
      <c r="BRP34" s="338"/>
      <c r="BRQ34" s="339"/>
      <c r="BSN34" s="340"/>
      <c r="BSP34" s="335"/>
      <c r="BSQ34" s="336"/>
      <c r="BSR34" s="337"/>
      <c r="BSS34" s="338"/>
      <c r="BST34" s="338"/>
      <c r="BSU34" s="338"/>
      <c r="BSV34" s="339"/>
      <c r="BTS34" s="340"/>
      <c r="BTU34" s="335"/>
      <c r="BTV34" s="336"/>
      <c r="BTW34" s="337"/>
      <c r="BTX34" s="338"/>
      <c r="BTY34" s="338"/>
      <c r="BTZ34" s="338"/>
      <c r="BUA34" s="339"/>
      <c r="BUX34" s="340"/>
      <c r="BUZ34" s="335"/>
      <c r="BVA34" s="336"/>
      <c r="BVB34" s="337"/>
      <c r="BVC34" s="338"/>
      <c r="BVD34" s="338"/>
      <c r="BVE34" s="338"/>
      <c r="BVF34" s="339"/>
      <c r="BWC34" s="340"/>
      <c r="BWE34" s="335"/>
      <c r="BWF34" s="336"/>
      <c r="BWG34" s="337"/>
      <c r="BWH34" s="338"/>
      <c r="BWI34" s="338"/>
      <c r="BWJ34" s="338"/>
      <c r="BWK34" s="339"/>
      <c r="BXH34" s="340"/>
      <c r="BXJ34" s="335"/>
      <c r="BXK34" s="336"/>
      <c r="BXL34" s="337"/>
      <c r="BXM34" s="338"/>
      <c r="BXN34" s="338"/>
      <c r="BXO34" s="338"/>
      <c r="BXP34" s="339"/>
      <c r="BYM34" s="340"/>
      <c r="BYO34" s="335"/>
      <c r="BYP34" s="336"/>
      <c r="BYQ34" s="337"/>
      <c r="BYR34" s="338"/>
      <c r="BYS34" s="338"/>
      <c r="BYT34" s="338"/>
      <c r="BYU34" s="339"/>
      <c r="BZR34" s="340"/>
      <c r="BZT34" s="335"/>
      <c r="BZU34" s="336"/>
      <c r="BZV34" s="337"/>
      <c r="BZW34" s="338"/>
      <c r="BZX34" s="338"/>
      <c r="BZY34" s="338"/>
      <c r="BZZ34" s="339"/>
      <c r="CAW34" s="340"/>
      <c r="CAY34" s="335"/>
      <c r="CAZ34" s="336"/>
      <c r="CBA34" s="337"/>
      <c r="CBB34" s="338"/>
      <c r="CBC34" s="338"/>
      <c r="CBD34" s="338"/>
      <c r="CBE34" s="339"/>
      <c r="CCB34" s="340"/>
      <c r="CCD34" s="335"/>
      <c r="CCE34" s="336"/>
      <c r="CCF34" s="337"/>
      <c r="CCG34" s="338"/>
      <c r="CCH34" s="338"/>
      <c r="CCI34" s="338"/>
      <c r="CCJ34" s="339"/>
      <c r="CDG34" s="340"/>
      <c r="CDI34" s="335"/>
      <c r="CDJ34" s="336"/>
      <c r="CDK34" s="337"/>
      <c r="CDL34" s="338"/>
      <c r="CDM34" s="338"/>
      <c r="CDN34" s="338"/>
      <c r="CDO34" s="339"/>
      <c r="CEL34" s="340"/>
      <c r="CEN34" s="335"/>
      <c r="CEO34" s="336"/>
      <c r="CEP34" s="337"/>
      <c r="CEQ34" s="338"/>
      <c r="CER34" s="338"/>
      <c r="CES34" s="338"/>
      <c r="CET34" s="339"/>
      <c r="CFQ34" s="340"/>
      <c r="CFS34" s="335"/>
      <c r="CFT34" s="336"/>
      <c r="CFU34" s="337"/>
      <c r="CFV34" s="338"/>
      <c r="CFW34" s="338"/>
      <c r="CFX34" s="338"/>
      <c r="CFY34" s="339"/>
      <c r="CGV34" s="340"/>
      <c r="CGX34" s="335"/>
      <c r="CGY34" s="336"/>
      <c r="CGZ34" s="337"/>
      <c r="CHA34" s="338"/>
      <c r="CHB34" s="338"/>
      <c r="CHC34" s="338"/>
      <c r="CHD34" s="339"/>
      <c r="CIA34" s="340"/>
      <c r="CIC34" s="335"/>
      <c r="CID34" s="336"/>
      <c r="CIE34" s="337"/>
      <c r="CIF34" s="338"/>
      <c r="CIG34" s="338"/>
      <c r="CIH34" s="338"/>
      <c r="CII34" s="339"/>
      <c r="CJF34" s="340"/>
      <c r="CJH34" s="335"/>
      <c r="CJI34" s="336"/>
      <c r="CJJ34" s="337"/>
      <c r="CJK34" s="338"/>
      <c r="CJL34" s="338"/>
      <c r="CJM34" s="338"/>
      <c r="CJN34" s="339"/>
      <c r="CKK34" s="340"/>
      <c r="CKM34" s="335"/>
      <c r="CKN34" s="336"/>
      <c r="CKO34" s="337"/>
      <c r="CKP34" s="338"/>
      <c r="CKQ34" s="338"/>
      <c r="CKR34" s="338"/>
      <c r="CKS34" s="339"/>
      <c r="CLP34" s="340"/>
      <c r="CLR34" s="335"/>
      <c r="CLS34" s="336"/>
      <c r="CLT34" s="337"/>
      <c r="CLU34" s="338"/>
      <c r="CLV34" s="338"/>
      <c r="CLW34" s="338"/>
      <c r="CLX34" s="339"/>
      <c r="CMU34" s="340"/>
      <c r="CMW34" s="335"/>
      <c r="CMX34" s="336"/>
      <c r="CMY34" s="337"/>
      <c r="CMZ34" s="338"/>
      <c r="CNA34" s="338"/>
      <c r="CNB34" s="338"/>
      <c r="CNC34" s="339"/>
      <c r="CNZ34" s="340"/>
      <c r="COB34" s="335"/>
      <c r="COC34" s="336"/>
      <c r="COD34" s="337"/>
      <c r="COE34" s="338"/>
      <c r="COF34" s="338"/>
      <c r="COG34" s="338"/>
      <c r="COH34" s="339"/>
      <c r="CPE34" s="340"/>
      <c r="CPG34" s="335"/>
      <c r="CPH34" s="336"/>
      <c r="CPI34" s="337"/>
      <c r="CPJ34" s="338"/>
      <c r="CPK34" s="338"/>
      <c r="CPL34" s="338"/>
      <c r="CPM34" s="339"/>
      <c r="CQJ34" s="340"/>
      <c r="CQL34" s="335"/>
      <c r="CQM34" s="336"/>
      <c r="CQN34" s="337"/>
      <c r="CQO34" s="338"/>
      <c r="CQP34" s="338"/>
      <c r="CQQ34" s="338"/>
      <c r="CQR34" s="339"/>
      <c r="CRO34" s="340"/>
      <c r="CRQ34" s="335"/>
      <c r="CRR34" s="336"/>
      <c r="CRS34" s="337"/>
      <c r="CRT34" s="338"/>
      <c r="CRU34" s="338"/>
      <c r="CRV34" s="338"/>
      <c r="CRW34" s="339"/>
      <c r="CST34" s="340"/>
      <c r="CSV34" s="335"/>
      <c r="CSW34" s="336"/>
      <c r="CSX34" s="337"/>
      <c r="CSY34" s="338"/>
      <c r="CSZ34" s="338"/>
      <c r="CTA34" s="338"/>
      <c r="CTB34" s="339"/>
      <c r="CTY34" s="340"/>
      <c r="CUA34" s="335"/>
      <c r="CUB34" s="336"/>
      <c r="CUC34" s="337"/>
      <c r="CUD34" s="338"/>
      <c r="CUE34" s="338"/>
      <c r="CUF34" s="338"/>
      <c r="CUG34" s="339"/>
      <c r="CVD34" s="340"/>
      <c r="CVF34" s="335"/>
      <c r="CVG34" s="336"/>
      <c r="CVH34" s="337"/>
      <c r="CVI34" s="338"/>
      <c r="CVJ34" s="338"/>
      <c r="CVK34" s="338"/>
      <c r="CVL34" s="339"/>
      <c r="CWI34" s="340"/>
      <c r="CWK34" s="335"/>
      <c r="CWL34" s="336"/>
      <c r="CWM34" s="337"/>
      <c r="CWN34" s="338"/>
      <c r="CWO34" s="338"/>
      <c r="CWP34" s="338"/>
      <c r="CWQ34" s="339"/>
      <c r="CXN34" s="340"/>
      <c r="CXP34" s="335"/>
      <c r="CXQ34" s="336"/>
      <c r="CXR34" s="337"/>
      <c r="CXS34" s="338"/>
      <c r="CXT34" s="338"/>
      <c r="CXU34" s="338"/>
      <c r="CXV34" s="339"/>
      <c r="CYS34" s="340"/>
      <c r="CYU34" s="335"/>
      <c r="CYV34" s="336"/>
      <c r="CYW34" s="337"/>
      <c r="CYX34" s="338"/>
      <c r="CYY34" s="338"/>
      <c r="CYZ34" s="338"/>
      <c r="CZA34" s="339"/>
      <c r="CZX34" s="340"/>
      <c r="CZZ34" s="335"/>
      <c r="DAA34" s="336"/>
      <c r="DAB34" s="337"/>
      <c r="DAC34" s="338"/>
      <c r="DAD34" s="338"/>
      <c r="DAE34" s="338"/>
      <c r="DAF34" s="339"/>
      <c r="DBC34" s="340"/>
      <c r="DBE34" s="335"/>
      <c r="DBF34" s="336"/>
      <c r="DBG34" s="337"/>
      <c r="DBH34" s="338"/>
      <c r="DBI34" s="338"/>
      <c r="DBJ34" s="338"/>
      <c r="DBK34" s="339"/>
      <c r="DCH34" s="340"/>
      <c r="DCJ34" s="335"/>
      <c r="DCK34" s="336"/>
      <c r="DCL34" s="337"/>
      <c r="DCM34" s="338"/>
      <c r="DCN34" s="338"/>
      <c r="DCO34" s="338"/>
      <c r="DCP34" s="339"/>
      <c r="DDM34" s="340"/>
      <c r="DDO34" s="335"/>
      <c r="DDP34" s="336"/>
      <c r="DDQ34" s="337"/>
      <c r="DDR34" s="338"/>
      <c r="DDS34" s="338"/>
      <c r="DDT34" s="338"/>
      <c r="DDU34" s="339"/>
      <c r="DER34" s="340"/>
      <c r="DET34" s="335"/>
      <c r="DEU34" s="336"/>
      <c r="DEV34" s="337"/>
      <c r="DEW34" s="338"/>
      <c r="DEX34" s="338"/>
      <c r="DEY34" s="338"/>
      <c r="DEZ34" s="339"/>
      <c r="DFW34" s="340"/>
      <c r="DFY34" s="335"/>
      <c r="DFZ34" s="336"/>
      <c r="DGA34" s="337"/>
      <c r="DGB34" s="338"/>
      <c r="DGC34" s="338"/>
      <c r="DGD34" s="338"/>
      <c r="DGE34" s="339"/>
      <c r="DHB34" s="340"/>
      <c r="DHD34" s="335"/>
      <c r="DHE34" s="336"/>
      <c r="DHF34" s="337"/>
      <c r="DHG34" s="338"/>
      <c r="DHH34" s="338"/>
      <c r="DHI34" s="338"/>
      <c r="DHJ34" s="339"/>
      <c r="DIG34" s="340"/>
      <c r="DII34" s="335"/>
      <c r="DIJ34" s="336"/>
      <c r="DIK34" s="337"/>
      <c r="DIL34" s="338"/>
      <c r="DIM34" s="338"/>
      <c r="DIN34" s="338"/>
      <c r="DIO34" s="339"/>
      <c r="DJL34" s="340"/>
      <c r="DJN34" s="335"/>
      <c r="DJO34" s="336"/>
      <c r="DJP34" s="337"/>
      <c r="DJQ34" s="338"/>
      <c r="DJR34" s="338"/>
      <c r="DJS34" s="338"/>
      <c r="DJT34" s="339"/>
      <c r="DKQ34" s="340"/>
      <c r="DKS34" s="335"/>
      <c r="DKT34" s="336"/>
      <c r="DKU34" s="337"/>
      <c r="DKV34" s="338"/>
      <c r="DKW34" s="338"/>
      <c r="DKX34" s="338"/>
      <c r="DKY34" s="339"/>
      <c r="DLV34" s="340"/>
      <c r="DLX34" s="335"/>
      <c r="DLY34" s="336"/>
      <c r="DLZ34" s="337"/>
      <c r="DMA34" s="338"/>
      <c r="DMB34" s="338"/>
      <c r="DMC34" s="338"/>
      <c r="DMD34" s="339"/>
      <c r="DNA34" s="340"/>
      <c r="DNC34" s="335"/>
      <c r="DND34" s="336"/>
      <c r="DNE34" s="337"/>
      <c r="DNF34" s="338"/>
      <c r="DNG34" s="338"/>
      <c r="DNH34" s="338"/>
      <c r="DNI34" s="339"/>
      <c r="DOF34" s="340"/>
      <c r="DOH34" s="335"/>
      <c r="DOI34" s="336"/>
      <c r="DOJ34" s="337"/>
      <c r="DOK34" s="338"/>
      <c r="DOL34" s="338"/>
      <c r="DOM34" s="338"/>
      <c r="DON34" s="339"/>
      <c r="DPK34" s="340"/>
      <c r="DPM34" s="335"/>
      <c r="DPN34" s="336"/>
      <c r="DPO34" s="337"/>
      <c r="DPP34" s="338"/>
      <c r="DPQ34" s="338"/>
      <c r="DPR34" s="338"/>
      <c r="DPS34" s="339"/>
      <c r="DQP34" s="340"/>
      <c r="DQR34" s="335"/>
      <c r="DQS34" s="336"/>
      <c r="DQT34" s="337"/>
      <c r="DQU34" s="338"/>
      <c r="DQV34" s="338"/>
      <c r="DQW34" s="338"/>
      <c r="DQX34" s="339"/>
      <c r="DRU34" s="340"/>
      <c r="DRW34" s="335"/>
      <c r="DRX34" s="336"/>
      <c r="DRY34" s="337"/>
      <c r="DRZ34" s="338"/>
      <c r="DSA34" s="338"/>
      <c r="DSB34" s="338"/>
      <c r="DSC34" s="339"/>
      <c r="DSZ34" s="340"/>
      <c r="DTB34" s="335"/>
      <c r="DTC34" s="336"/>
      <c r="DTD34" s="337"/>
      <c r="DTE34" s="338"/>
      <c r="DTF34" s="338"/>
      <c r="DTG34" s="338"/>
      <c r="DTH34" s="339"/>
      <c r="DUE34" s="340"/>
      <c r="DUG34" s="335"/>
      <c r="DUH34" s="336"/>
      <c r="DUI34" s="337"/>
      <c r="DUJ34" s="338"/>
      <c r="DUK34" s="338"/>
      <c r="DUL34" s="338"/>
      <c r="DUM34" s="339"/>
      <c r="DVJ34" s="340"/>
      <c r="DVL34" s="335"/>
      <c r="DVM34" s="336"/>
      <c r="DVN34" s="337"/>
      <c r="DVO34" s="338"/>
      <c r="DVP34" s="338"/>
      <c r="DVQ34" s="338"/>
      <c r="DVR34" s="339"/>
      <c r="DWO34" s="340"/>
      <c r="DWQ34" s="335"/>
      <c r="DWR34" s="336"/>
      <c r="DWS34" s="337"/>
      <c r="DWT34" s="338"/>
      <c r="DWU34" s="338"/>
      <c r="DWV34" s="338"/>
      <c r="DWW34" s="339"/>
      <c r="DXT34" s="340"/>
      <c r="DXV34" s="335"/>
      <c r="DXW34" s="336"/>
      <c r="DXX34" s="337"/>
      <c r="DXY34" s="338"/>
      <c r="DXZ34" s="338"/>
      <c r="DYA34" s="338"/>
      <c r="DYB34" s="339"/>
      <c r="DYY34" s="340"/>
      <c r="DZA34" s="335"/>
      <c r="DZB34" s="336"/>
      <c r="DZC34" s="337"/>
      <c r="DZD34" s="338"/>
      <c r="DZE34" s="338"/>
      <c r="DZF34" s="338"/>
      <c r="DZG34" s="339"/>
      <c r="EAD34" s="340"/>
      <c r="EAF34" s="335"/>
      <c r="EAG34" s="336"/>
      <c r="EAH34" s="337"/>
      <c r="EAI34" s="338"/>
      <c r="EAJ34" s="338"/>
      <c r="EAK34" s="338"/>
      <c r="EAL34" s="339"/>
      <c r="EBI34" s="340"/>
      <c r="EBK34" s="335"/>
      <c r="EBL34" s="336"/>
      <c r="EBM34" s="337"/>
      <c r="EBN34" s="338"/>
      <c r="EBO34" s="338"/>
      <c r="EBP34" s="338"/>
      <c r="EBQ34" s="339"/>
      <c r="ECN34" s="340"/>
      <c r="ECP34" s="335"/>
      <c r="ECQ34" s="336"/>
      <c r="ECR34" s="337"/>
      <c r="ECS34" s="338"/>
      <c r="ECT34" s="338"/>
      <c r="ECU34" s="338"/>
      <c r="ECV34" s="339"/>
      <c r="EDS34" s="340"/>
      <c r="EDU34" s="335"/>
      <c r="EDV34" s="336"/>
      <c r="EDW34" s="337"/>
      <c r="EDX34" s="338"/>
      <c r="EDY34" s="338"/>
      <c r="EDZ34" s="338"/>
      <c r="EEA34" s="339"/>
      <c r="EEX34" s="340"/>
      <c r="EEZ34" s="335"/>
      <c r="EFA34" s="336"/>
      <c r="EFB34" s="337"/>
      <c r="EFC34" s="338"/>
      <c r="EFD34" s="338"/>
      <c r="EFE34" s="338"/>
      <c r="EFF34" s="339"/>
      <c r="EGC34" s="340"/>
      <c r="EGE34" s="335"/>
      <c r="EGF34" s="336"/>
      <c r="EGG34" s="337"/>
      <c r="EGH34" s="338"/>
      <c r="EGI34" s="338"/>
      <c r="EGJ34" s="338"/>
      <c r="EGK34" s="339"/>
      <c r="EHH34" s="340"/>
      <c r="EHJ34" s="335"/>
      <c r="EHK34" s="336"/>
      <c r="EHL34" s="337"/>
      <c r="EHM34" s="338"/>
      <c r="EHN34" s="338"/>
      <c r="EHO34" s="338"/>
      <c r="EHP34" s="339"/>
      <c r="EIM34" s="340"/>
      <c r="EIO34" s="335"/>
      <c r="EIP34" s="336"/>
      <c r="EIQ34" s="337"/>
      <c r="EIR34" s="338"/>
      <c r="EIS34" s="338"/>
      <c r="EIT34" s="338"/>
      <c r="EIU34" s="339"/>
      <c r="EJR34" s="340"/>
      <c r="EJT34" s="335"/>
      <c r="EJU34" s="336"/>
      <c r="EJV34" s="337"/>
      <c r="EJW34" s="338"/>
      <c r="EJX34" s="338"/>
      <c r="EJY34" s="338"/>
      <c r="EJZ34" s="339"/>
      <c r="EKW34" s="340"/>
      <c r="EKY34" s="335"/>
      <c r="EKZ34" s="336"/>
      <c r="ELA34" s="337"/>
      <c r="ELB34" s="338"/>
      <c r="ELC34" s="338"/>
      <c r="ELD34" s="338"/>
      <c r="ELE34" s="339"/>
      <c r="EMB34" s="340"/>
      <c r="EMD34" s="335"/>
      <c r="EME34" s="336"/>
      <c r="EMF34" s="337"/>
      <c r="EMG34" s="338"/>
      <c r="EMH34" s="338"/>
      <c r="EMI34" s="338"/>
      <c r="EMJ34" s="339"/>
      <c r="ENG34" s="340"/>
      <c r="ENI34" s="335"/>
      <c r="ENJ34" s="336"/>
      <c r="ENK34" s="337"/>
      <c r="ENL34" s="338"/>
      <c r="ENM34" s="338"/>
      <c r="ENN34" s="338"/>
      <c r="ENO34" s="339"/>
      <c r="EOL34" s="340"/>
      <c r="EON34" s="335"/>
      <c r="EOO34" s="336"/>
      <c r="EOP34" s="337"/>
      <c r="EOQ34" s="338"/>
      <c r="EOR34" s="338"/>
      <c r="EOS34" s="338"/>
      <c r="EOT34" s="339"/>
      <c r="EPQ34" s="340"/>
      <c r="EPS34" s="335"/>
      <c r="EPT34" s="336"/>
      <c r="EPU34" s="337"/>
      <c r="EPV34" s="338"/>
      <c r="EPW34" s="338"/>
      <c r="EPX34" s="338"/>
      <c r="EPY34" s="339"/>
      <c r="EQV34" s="340"/>
      <c r="EQX34" s="335"/>
      <c r="EQY34" s="336"/>
      <c r="EQZ34" s="337"/>
      <c r="ERA34" s="338"/>
      <c r="ERB34" s="338"/>
      <c r="ERC34" s="338"/>
      <c r="ERD34" s="339"/>
      <c r="ESA34" s="340"/>
      <c r="ESC34" s="335"/>
      <c r="ESD34" s="336"/>
      <c r="ESE34" s="337"/>
      <c r="ESF34" s="338"/>
      <c r="ESG34" s="338"/>
      <c r="ESH34" s="338"/>
      <c r="ESI34" s="339"/>
      <c r="ETF34" s="340"/>
      <c r="ETH34" s="335"/>
      <c r="ETI34" s="336"/>
      <c r="ETJ34" s="337"/>
      <c r="ETK34" s="338"/>
      <c r="ETL34" s="338"/>
      <c r="ETM34" s="338"/>
      <c r="ETN34" s="339"/>
      <c r="EUK34" s="340"/>
      <c r="EUM34" s="335"/>
      <c r="EUN34" s="336"/>
      <c r="EUO34" s="337"/>
      <c r="EUP34" s="338"/>
      <c r="EUQ34" s="338"/>
      <c r="EUR34" s="338"/>
      <c r="EUS34" s="339"/>
      <c r="EVP34" s="340"/>
      <c r="EVR34" s="335"/>
      <c r="EVS34" s="336"/>
      <c r="EVT34" s="337"/>
      <c r="EVU34" s="338"/>
      <c r="EVV34" s="338"/>
      <c r="EVW34" s="338"/>
      <c r="EVX34" s="339"/>
      <c r="EWU34" s="340"/>
      <c r="EWW34" s="335"/>
      <c r="EWX34" s="336"/>
      <c r="EWY34" s="337"/>
      <c r="EWZ34" s="338"/>
      <c r="EXA34" s="338"/>
      <c r="EXB34" s="338"/>
      <c r="EXC34" s="339"/>
      <c r="EXZ34" s="340"/>
      <c r="EYB34" s="335"/>
      <c r="EYC34" s="336"/>
      <c r="EYD34" s="337"/>
      <c r="EYE34" s="338"/>
      <c r="EYF34" s="338"/>
      <c r="EYG34" s="338"/>
      <c r="EYH34" s="339"/>
      <c r="EZE34" s="340"/>
      <c r="EZG34" s="335"/>
      <c r="EZH34" s="336"/>
      <c r="EZI34" s="337"/>
      <c r="EZJ34" s="338"/>
      <c r="EZK34" s="338"/>
      <c r="EZL34" s="338"/>
      <c r="EZM34" s="339"/>
      <c r="FAJ34" s="340"/>
      <c r="FAL34" s="335"/>
      <c r="FAM34" s="336"/>
      <c r="FAN34" s="337"/>
      <c r="FAO34" s="338"/>
      <c r="FAP34" s="338"/>
      <c r="FAQ34" s="338"/>
      <c r="FAR34" s="339"/>
      <c r="FBO34" s="340"/>
      <c r="FBQ34" s="335"/>
      <c r="FBR34" s="336"/>
      <c r="FBS34" s="337"/>
      <c r="FBT34" s="338"/>
      <c r="FBU34" s="338"/>
      <c r="FBV34" s="338"/>
      <c r="FBW34" s="339"/>
      <c r="FCT34" s="340"/>
      <c r="FCV34" s="335"/>
      <c r="FCW34" s="336"/>
      <c r="FCX34" s="337"/>
      <c r="FCY34" s="338"/>
      <c r="FCZ34" s="338"/>
      <c r="FDA34" s="338"/>
      <c r="FDB34" s="339"/>
      <c r="FDY34" s="340"/>
      <c r="FEA34" s="335"/>
      <c r="FEB34" s="336"/>
      <c r="FEC34" s="337"/>
      <c r="FED34" s="338"/>
      <c r="FEE34" s="338"/>
      <c r="FEF34" s="338"/>
      <c r="FEG34" s="339"/>
      <c r="FFD34" s="340"/>
      <c r="FFF34" s="335"/>
      <c r="FFG34" s="336"/>
      <c r="FFH34" s="337"/>
      <c r="FFI34" s="338"/>
      <c r="FFJ34" s="338"/>
      <c r="FFK34" s="338"/>
      <c r="FFL34" s="339"/>
      <c r="FGI34" s="340"/>
      <c r="FGK34" s="335"/>
      <c r="FGL34" s="336"/>
      <c r="FGM34" s="337"/>
      <c r="FGN34" s="338"/>
      <c r="FGO34" s="338"/>
      <c r="FGP34" s="338"/>
      <c r="FGQ34" s="339"/>
      <c r="FHN34" s="340"/>
      <c r="FHP34" s="335"/>
      <c r="FHQ34" s="336"/>
      <c r="FHR34" s="337"/>
      <c r="FHS34" s="338"/>
      <c r="FHT34" s="338"/>
      <c r="FHU34" s="338"/>
      <c r="FHV34" s="339"/>
      <c r="FIS34" s="340"/>
      <c r="FIU34" s="335"/>
      <c r="FIV34" s="336"/>
      <c r="FIW34" s="337"/>
      <c r="FIX34" s="338"/>
      <c r="FIY34" s="338"/>
      <c r="FIZ34" s="338"/>
      <c r="FJA34" s="339"/>
      <c r="FJX34" s="340"/>
      <c r="FJZ34" s="335"/>
      <c r="FKA34" s="336"/>
      <c r="FKB34" s="337"/>
      <c r="FKC34" s="338"/>
      <c r="FKD34" s="338"/>
      <c r="FKE34" s="338"/>
      <c r="FKF34" s="339"/>
      <c r="FLC34" s="340"/>
      <c r="FLE34" s="335"/>
      <c r="FLF34" s="336"/>
      <c r="FLG34" s="337"/>
      <c r="FLH34" s="338"/>
      <c r="FLI34" s="338"/>
      <c r="FLJ34" s="338"/>
      <c r="FLK34" s="339"/>
      <c r="FMH34" s="340"/>
      <c r="FMJ34" s="335"/>
      <c r="FMK34" s="336"/>
      <c r="FML34" s="337"/>
      <c r="FMM34" s="338"/>
      <c r="FMN34" s="338"/>
      <c r="FMO34" s="338"/>
      <c r="FMP34" s="339"/>
      <c r="FNM34" s="340"/>
      <c r="FNO34" s="335"/>
      <c r="FNP34" s="336"/>
      <c r="FNQ34" s="337"/>
      <c r="FNR34" s="338"/>
      <c r="FNS34" s="338"/>
      <c r="FNT34" s="338"/>
      <c r="FNU34" s="339"/>
      <c r="FOR34" s="340"/>
      <c r="FOT34" s="335"/>
      <c r="FOU34" s="336"/>
      <c r="FOV34" s="337"/>
      <c r="FOW34" s="338"/>
      <c r="FOX34" s="338"/>
      <c r="FOY34" s="338"/>
      <c r="FOZ34" s="339"/>
      <c r="FPW34" s="340"/>
      <c r="FPY34" s="335"/>
      <c r="FPZ34" s="336"/>
      <c r="FQA34" s="337"/>
      <c r="FQB34" s="338"/>
      <c r="FQC34" s="338"/>
      <c r="FQD34" s="338"/>
      <c r="FQE34" s="339"/>
      <c r="FRB34" s="340"/>
      <c r="FRD34" s="335"/>
      <c r="FRE34" s="336"/>
      <c r="FRF34" s="337"/>
      <c r="FRG34" s="338"/>
      <c r="FRH34" s="338"/>
      <c r="FRI34" s="338"/>
      <c r="FRJ34" s="339"/>
      <c r="FSG34" s="340"/>
      <c r="FSI34" s="335"/>
      <c r="FSJ34" s="336"/>
      <c r="FSK34" s="337"/>
      <c r="FSL34" s="338"/>
      <c r="FSM34" s="338"/>
      <c r="FSN34" s="338"/>
      <c r="FSO34" s="339"/>
      <c r="FTL34" s="340"/>
      <c r="FTN34" s="335"/>
      <c r="FTO34" s="336"/>
      <c r="FTP34" s="337"/>
      <c r="FTQ34" s="338"/>
      <c r="FTR34" s="338"/>
      <c r="FTS34" s="338"/>
      <c r="FTT34" s="339"/>
      <c r="FUQ34" s="340"/>
      <c r="FUS34" s="335"/>
      <c r="FUT34" s="336"/>
      <c r="FUU34" s="337"/>
      <c r="FUV34" s="338"/>
      <c r="FUW34" s="338"/>
      <c r="FUX34" s="338"/>
      <c r="FUY34" s="339"/>
      <c r="FVV34" s="340"/>
      <c r="FVX34" s="335"/>
      <c r="FVY34" s="336"/>
      <c r="FVZ34" s="337"/>
      <c r="FWA34" s="338"/>
      <c r="FWB34" s="338"/>
      <c r="FWC34" s="338"/>
      <c r="FWD34" s="339"/>
      <c r="FXA34" s="340"/>
      <c r="FXC34" s="335"/>
      <c r="FXD34" s="336"/>
      <c r="FXE34" s="337"/>
      <c r="FXF34" s="338"/>
      <c r="FXG34" s="338"/>
      <c r="FXH34" s="338"/>
      <c r="FXI34" s="339"/>
      <c r="FYF34" s="340"/>
      <c r="FYH34" s="335"/>
      <c r="FYI34" s="336"/>
      <c r="FYJ34" s="337"/>
      <c r="FYK34" s="338"/>
      <c r="FYL34" s="338"/>
      <c r="FYM34" s="338"/>
      <c r="FYN34" s="339"/>
      <c r="FZK34" s="340"/>
      <c r="FZM34" s="335"/>
      <c r="FZN34" s="336"/>
      <c r="FZO34" s="337"/>
      <c r="FZP34" s="338"/>
      <c r="FZQ34" s="338"/>
      <c r="FZR34" s="338"/>
      <c r="FZS34" s="339"/>
      <c r="GAP34" s="340"/>
      <c r="GAR34" s="335"/>
      <c r="GAS34" s="336"/>
      <c r="GAT34" s="337"/>
      <c r="GAU34" s="338"/>
      <c r="GAV34" s="338"/>
      <c r="GAW34" s="338"/>
      <c r="GAX34" s="339"/>
      <c r="GBU34" s="340"/>
      <c r="GBW34" s="335"/>
      <c r="GBX34" s="336"/>
      <c r="GBY34" s="337"/>
      <c r="GBZ34" s="338"/>
      <c r="GCA34" s="338"/>
      <c r="GCB34" s="338"/>
      <c r="GCC34" s="339"/>
      <c r="GCZ34" s="340"/>
      <c r="GDB34" s="335"/>
      <c r="GDC34" s="336"/>
      <c r="GDD34" s="337"/>
      <c r="GDE34" s="338"/>
      <c r="GDF34" s="338"/>
      <c r="GDG34" s="338"/>
      <c r="GDH34" s="339"/>
      <c r="GEE34" s="340"/>
      <c r="GEG34" s="335"/>
      <c r="GEH34" s="336"/>
      <c r="GEI34" s="337"/>
      <c r="GEJ34" s="338"/>
      <c r="GEK34" s="338"/>
      <c r="GEL34" s="338"/>
      <c r="GEM34" s="339"/>
      <c r="GFJ34" s="340"/>
      <c r="GFL34" s="335"/>
      <c r="GFM34" s="336"/>
      <c r="GFN34" s="337"/>
      <c r="GFO34" s="338"/>
      <c r="GFP34" s="338"/>
      <c r="GFQ34" s="338"/>
      <c r="GFR34" s="339"/>
      <c r="GGO34" s="340"/>
      <c r="GGQ34" s="335"/>
      <c r="GGR34" s="336"/>
      <c r="GGS34" s="337"/>
      <c r="GGT34" s="338"/>
      <c r="GGU34" s="338"/>
      <c r="GGV34" s="338"/>
      <c r="GGW34" s="339"/>
      <c r="GHT34" s="340"/>
      <c r="GHV34" s="335"/>
      <c r="GHW34" s="336"/>
      <c r="GHX34" s="337"/>
      <c r="GHY34" s="338"/>
      <c r="GHZ34" s="338"/>
      <c r="GIA34" s="338"/>
      <c r="GIB34" s="339"/>
      <c r="GIY34" s="340"/>
      <c r="GJA34" s="335"/>
      <c r="GJB34" s="336"/>
      <c r="GJC34" s="337"/>
      <c r="GJD34" s="338"/>
      <c r="GJE34" s="338"/>
      <c r="GJF34" s="338"/>
      <c r="GJG34" s="339"/>
      <c r="GKD34" s="340"/>
      <c r="GKF34" s="335"/>
      <c r="GKG34" s="336"/>
      <c r="GKH34" s="337"/>
      <c r="GKI34" s="338"/>
      <c r="GKJ34" s="338"/>
      <c r="GKK34" s="338"/>
      <c r="GKL34" s="339"/>
      <c r="GLI34" s="340"/>
      <c r="GLK34" s="335"/>
      <c r="GLL34" s="336"/>
      <c r="GLM34" s="337"/>
      <c r="GLN34" s="338"/>
      <c r="GLO34" s="338"/>
      <c r="GLP34" s="338"/>
      <c r="GLQ34" s="339"/>
      <c r="GMN34" s="340"/>
      <c r="GMP34" s="335"/>
      <c r="GMQ34" s="336"/>
      <c r="GMR34" s="337"/>
      <c r="GMS34" s="338"/>
      <c r="GMT34" s="338"/>
      <c r="GMU34" s="338"/>
      <c r="GMV34" s="339"/>
      <c r="GNS34" s="340"/>
      <c r="GNU34" s="335"/>
      <c r="GNV34" s="336"/>
      <c r="GNW34" s="337"/>
      <c r="GNX34" s="338"/>
      <c r="GNY34" s="338"/>
      <c r="GNZ34" s="338"/>
      <c r="GOA34" s="339"/>
      <c r="GOX34" s="340"/>
      <c r="GOZ34" s="335"/>
      <c r="GPA34" s="336"/>
      <c r="GPB34" s="337"/>
      <c r="GPC34" s="338"/>
      <c r="GPD34" s="338"/>
      <c r="GPE34" s="338"/>
      <c r="GPF34" s="339"/>
      <c r="GQC34" s="340"/>
      <c r="GQE34" s="335"/>
      <c r="GQF34" s="336"/>
      <c r="GQG34" s="337"/>
      <c r="GQH34" s="338"/>
      <c r="GQI34" s="338"/>
      <c r="GQJ34" s="338"/>
      <c r="GQK34" s="339"/>
      <c r="GRH34" s="340"/>
      <c r="GRJ34" s="335"/>
      <c r="GRK34" s="336"/>
      <c r="GRL34" s="337"/>
      <c r="GRM34" s="338"/>
      <c r="GRN34" s="338"/>
      <c r="GRO34" s="338"/>
      <c r="GRP34" s="339"/>
      <c r="GSM34" s="340"/>
      <c r="GSO34" s="335"/>
      <c r="GSP34" s="336"/>
      <c r="GSQ34" s="337"/>
      <c r="GSR34" s="338"/>
      <c r="GSS34" s="338"/>
      <c r="GST34" s="338"/>
      <c r="GSU34" s="339"/>
      <c r="GTR34" s="340"/>
      <c r="GTT34" s="335"/>
      <c r="GTU34" s="336"/>
      <c r="GTV34" s="337"/>
      <c r="GTW34" s="338"/>
      <c r="GTX34" s="338"/>
      <c r="GTY34" s="338"/>
      <c r="GTZ34" s="339"/>
      <c r="GUW34" s="340"/>
      <c r="GUY34" s="335"/>
      <c r="GUZ34" s="336"/>
      <c r="GVA34" s="337"/>
      <c r="GVB34" s="338"/>
      <c r="GVC34" s="338"/>
      <c r="GVD34" s="338"/>
      <c r="GVE34" s="339"/>
      <c r="GWB34" s="340"/>
      <c r="GWD34" s="335"/>
      <c r="GWE34" s="336"/>
      <c r="GWF34" s="337"/>
      <c r="GWG34" s="338"/>
      <c r="GWH34" s="338"/>
      <c r="GWI34" s="338"/>
      <c r="GWJ34" s="339"/>
      <c r="GXG34" s="340"/>
      <c r="GXI34" s="335"/>
      <c r="GXJ34" s="336"/>
      <c r="GXK34" s="337"/>
      <c r="GXL34" s="338"/>
      <c r="GXM34" s="338"/>
      <c r="GXN34" s="338"/>
      <c r="GXO34" s="339"/>
      <c r="GYL34" s="340"/>
      <c r="GYN34" s="335"/>
      <c r="GYO34" s="336"/>
      <c r="GYP34" s="337"/>
      <c r="GYQ34" s="338"/>
      <c r="GYR34" s="338"/>
      <c r="GYS34" s="338"/>
      <c r="GYT34" s="339"/>
      <c r="GZQ34" s="340"/>
      <c r="GZS34" s="335"/>
      <c r="GZT34" s="336"/>
      <c r="GZU34" s="337"/>
      <c r="GZV34" s="338"/>
      <c r="GZW34" s="338"/>
      <c r="GZX34" s="338"/>
      <c r="GZY34" s="339"/>
      <c r="HAV34" s="340"/>
      <c r="HAX34" s="335"/>
      <c r="HAY34" s="336"/>
      <c r="HAZ34" s="337"/>
      <c r="HBA34" s="338"/>
      <c r="HBB34" s="338"/>
      <c r="HBC34" s="338"/>
      <c r="HBD34" s="339"/>
      <c r="HCA34" s="340"/>
      <c r="HCC34" s="335"/>
      <c r="HCD34" s="336"/>
      <c r="HCE34" s="337"/>
      <c r="HCF34" s="338"/>
      <c r="HCG34" s="338"/>
      <c r="HCH34" s="338"/>
      <c r="HCI34" s="339"/>
      <c r="HDF34" s="340"/>
      <c r="HDH34" s="335"/>
      <c r="HDI34" s="336"/>
      <c r="HDJ34" s="337"/>
      <c r="HDK34" s="338"/>
      <c r="HDL34" s="338"/>
      <c r="HDM34" s="338"/>
      <c r="HDN34" s="339"/>
      <c r="HEK34" s="340"/>
      <c r="HEM34" s="335"/>
      <c r="HEN34" s="336"/>
      <c r="HEO34" s="337"/>
      <c r="HEP34" s="338"/>
      <c r="HEQ34" s="338"/>
      <c r="HER34" s="338"/>
      <c r="HES34" s="339"/>
      <c r="HFP34" s="340"/>
      <c r="HFR34" s="335"/>
      <c r="HFS34" s="336"/>
      <c r="HFT34" s="337"/>
      <c r="HFU34" s="338"/>
      <c r="HFV34" s="338"/>
      <c r="HFW34" s="338"/>
      <c r="HFX34" s="339"/>
      <c r="HGU34" s="340"/>
      <c r="HGW34" s="335"/>
      <c r="HGX34" s="336"/>
      <c r="HGY34" s="337"/>
      <c r="HGZ34" s="338"/>
      <c r="HHA34" s="338"/>
      <c r="HHB34" s="338"/>
      <c r="HHC34" s="339"/>
      <c r="HHZ34" s="340"/>
      <c r="HIB34" s="335"/>
      <c r="HIC34" s="336"/>
      <c r="HID34" s="337"/>
      <c r="HIE34" s="338"/>
      <c r="HIF34" s="338"/>
      <c r="HIG34" s="338"/>
      <c r="HIH34" s="339"/>
      <c r="HJE34" s="340"/>
      <c r="HJG34" s="335"/>
      <c r="HJH34" s="336"/>
      <c r="HJI34" s="337"/>
      <c r="HJJ34" s="338"/>
      <c r="HJK34" s="338"/>
      <c r="HJL34" s="338"/>
      <c r="HJM34" s="339"/>
      <c r="HKJ34" s="340"/>
      <c r="HKL34" s="335"/>
      <c r="HKM34" s="336"/>
      <c r="HKN34" s="337"/>
      <c r="HKO34" s="338"/>
      <c r="HKP34" s="338"/>
      <c r="HKQ34" s="338"/>
      <c r="HKR34" s="339"/>
      <c r="HLO34" s="340"/>
      <c r="HLQ34" s="335"/>
      <c r="HLR34" s="336"/>
      <c r="HLS34" s="337"/>
      <c r="HLT34" s="338"/>
      <c r="HLU34" s="338"/>
      <c r="HLV34" s="338"/>
      <c r="HLW34" s="339"/>
      <c r="HMT34" s="340"/>
      <c r="HMV34" s="335"/>
      <c r="HMW34" s="336"/>
      <c r="HMX34" s="337"/>
      <c r="HMY34" s="338"/>
      <c r="HMZ34" s="338"/>
      <c r="HNA34" s="338"/>
      <c r="HNB34" s="339"/>
      <c r="HNY34" s="340"/>
      <c r="HOA34" s="335"/>
      <c r="HOB34" s="336"/>
      <c r="HOC34" s="337"/>
      <c r="HOD34" s="338"/>
      <c r="HOE34" s="338"/>
      <c r="HOF34" s="338"/>
      <c r="HOG34" s="339"/>
      <c r="HPD34" s="340"/>
      <c r="HPF34" s="335"/>
      <c r="HPG34" s="336"/>
      <c r="HPH34" s="337"/>
      <c r="HPI34" s="338"/>
      <c r="HPJ34" s="338"/>
      <c r="HPK34" s="338"/>
      <c r="HPL34" s="339"/>
      <c r="HQI34" s="340"/>
      <c r="HQK34" s="335"/>
      <c r="HQL34" s="336"/>
      <c r="HQM34" s="337"/>
      <c r="HQN34" s="338"/>
      <c r="HQO34" s="338"/>
      <c r="HQP34" s="338"/>
      <c r="HQQ34" s="339"/>
      <c r="HRN34" s="340"/>
      <c r="HRP34" s="335"/>
      <c r="HRQ34" s="336"/>
      <c r="HRR34" s="337"/>
      <c r="HRS34" s="338"/>
      <c r="HRT34" s="338"/>
      <c r="HRU34" s="338"/>
      <c r="HRV34" s="339"/>
      <c r="HSS34" s="340"/>
      <c r="HSU34" s="335"/>
      <c r="HSV34" s="336"/>
      <c r="HSW34" s="337"/>
      <c r="HSX34" s="338"/>
      <c r="HSY34" s="338"/>
      <c r="HSZ34" s="338"/>
      <c r="HTA34" s="339"/>
      <c r="HTX34" s="340"/>
      <c r="HTZ34" s="335"/>
      <c r="HUA34" s="336"/>
      <c r="HUB34" s="337"/>
      <c r="HUC34" s="338"/>
      <c r="HUD34" s="338"/>
      <c r="HUE34" s="338"/>
      <c r="HUF34" s="339"/>
      <c r="HVC34" s="340"/>
      <c r="HVE34" s="335"/>
      <c r="HVF34" s="336"/>
      <c r="HVG34" s="337"/>
      <c r="HVH34" s="338"/>
      <c r="HVI34" s="338"/>
      <c r="HVJ34" s="338"/>
      <c r="HVK34" s="339"/>
      <c r="HWH34" s="340"/>
      <c r="HWJ34" s="335"/>
      <c r="HWK34" s="336"/>
      <c r="HWL34" s="337"/>
      <c r="HWM34" s="338"/>
      <c r="HWN34" s="338"/>
      <c r="HWO34" s="338"/>
      <c r="HWP34" s="339"/>
      <c r="HXM34" s="340"/>
      <c r="HXO34" s="335"/>
      <c r="HXP34" s="336"/>
      <c r="HXQ34" s="337"/>
      <c r="HXR34" s="338"/>
      <c r="HXS34" s="338"/>
      <c r="HXT34" s="338"/>
      <c r="HXU34" s="339"/>
      <c r="HYR34" s="340"/>
      <c r="HYT34" s="335"/>
      <c r="HYU34" s="336"/>
      <c r="HYV34" s="337"/>
      <c r="HYW34" s="338"/>
      <c r="HYX34" s="338"/>
      <c r="HYY34" s="338"/>
      <c r="HYZ34" s="339"/>
      <c r="HZW34" s="340"/>
      <c r="HZY34" s="335"/>
      <c r="HZZ34" s="336"/>
      <c r="IAA34" s="337"/>
      <c r="IAB34" s="338"/>
      <c r="IAC34" s="338"/>
      <c r="IAD34" s="338"/>
      <c r="IAE34" s="339"/>
      <c r="IBB34" s="340"/>
      <c r="IBD34" s="335"/>
      <c r="IBE34" s="336"/>
      <c r="IBF34" s="337"/>
      <c r="IBG34" s="338"/>
      <c r="IBH34" s="338"/>
      <c r="IBI34" s="338"/>
      <c r="IBJ34" s="339"/>
      <c r="ICG34" s="340"/>
      <c r="ICI34" s="335"/>
      <c r="ICJ34" s="336"/>
      <c r="ICK34" s="337"/>
      <c r="ICL34" s="338"/>
      <c r="ICM34" s="338"/>
      <c r="ICN34" s="338"/>
      <c r="ICO34" s="339"/>
      <c r="IDL34" s="340"/>
      <c r="IDN34" s="335"/>
      <c r="IDO34" s="336"/>
      <c r="IDP34" s="337"/>
      <c r="IDQ34" s="338"/>
      <c r="IDR34" s="338"/>
      <c r="IDS34" s="338"/>
      <c r="IDT34" s="339"/>
      <c r="IEQ34" s="340"/>
      <c r="IES34" s="335"/>
      <c r="IET34" s="336"/>
      <c r="IEU34" s="337"/>
      <c r="IEV34" s="338"/>
      <c r="IEW34" s="338"/>
      <c r="IEX34" s="338"/>
      <c r="IEY34" s="339"/>
      <c r="IFV34" s="340"/>
      <c r="IFX34" s="335"/>
      <c r="IFY34" s="336"/>
      <c r="IFZ34" s="337"/>
      <c r="IGA34" s="338"/>
      <c r="IGB34" s="338"/>
      <c r="IGC34" s="338"/>
      <c r="IGD34" s="339"/>
      <c r="IHA34" s="340"/>
      <c r="IHC34" s="335"/>
      <c r="IHD34" s="336"/>
      <c r="IHE34" s="337"/>
      <c r="IHF34" s="338"/>
      <c r="IHG34" s="338"/>
      <c r="IHH34" s="338"/>
      <c r="IHI34" s="339"/>
      <c r="IIF34" s="340"/>
      <c r="IIH34" s="335"/>
      <c r="III34" s="336"/>
      <c r="IIJ34" s="337"/>
      <c r="IIK34" s="338"/>
      <c r="IIL34" s="338"/>
      <c r="IIM34" s="338"/>
      <c r="IIN34" s="339"/>
      <c r="IJK34" s="340"/>
      <c r="IJM34" s="335"/>
      <c r="IJN34" s="336"/>
      <c r="IJO34" s="337"/>
      <c r="IJP34" s="338"/>
      <c r="IJQ34" s="338"/>
      <c r="IJR34" s="338"/>
      <c r="IJS34" s="339"/>
      <c r="IKP34" s="340"/>
      <c r="IKR34" s="335"/>
      <c r="IKS34" s="336"/>
      <c r="IKT34" s="337"/>
      <c r="IKU34" s="338"/>
      <c r="IKV34" s="338"/>
      <c r="IKW34" s="338"/>
      <c r="IKX34" s="339"/>
      <c r="ILU34" s="340"/>
      <c r="ILW34" s="335"/>
      <c r="ILX34" s="336"/>
      <c r="ILY34" s="337"/>
      <c r="ILZ34" s="338"/>
      <c r="IMA34" s="338"/>
      <c r="IMB34" s="338"/>
      <c r="IMC34" s="339"/>
      <c r="IMZ34" s="340"/>
      <c r="INB34" s="335"/>
      <c r="INC34" s="336"/>
      <c r="IND34" s="337"/>
      <c r="INE34" s="338"/>
      <c r="INF34" s="338"/>
      <c r="ING34" s="338"/>
      <c r="INH34" s="339"/>
      <c r="IOE34" s="340"/>
      <c r="IOG34" s="335"/>
      <c r="IOH34" s="336"/>
      <c r="IOI34" s="337"/>
      <c r="IOJ34" s="338"/>
      <c r="IOK34" s="338"/>
      <c r="IOL34" s="338"/>
      <c r="IOM34" s="339"/>
      <c r="IPJ34" s="340"/>
      <c r="IPL34" s="335"/>
      <c r="IPM34" s="336"/>
      <c r="IPN34" s="337"/>
      <c r="IPO34" s="338"/>
      <c r="IPP34" s="338"/>
      <c r="IPQ34" s="338"/>
      <c r="IPR34" s="339"/>
      <c r="IQO34" s="340"/>
      <c r="IQQ34" s="335"/>
      <c r="IQR34" s="336"/>
      <c r="IQS34" s="337"/>
      <c r="IQT34" s="338"/>
      <c r="IQU34" s="338"/>
      <c r="IQV34" s="338"/>
      <c r="IQW34" s="339"/>
      <c r="IRT34" s="340"/>
      <c r="IRV34" s="335"/>
      <c r="IRW34" s="336"/>
      <c r="IRX34" s="337"/>
      <c r="IRY34" s="338"/>
      <c r="IRZ34" s="338"/>
      <c r="ISA34" s="338"/>
      <c r="ISB34" s="339"/>
      <c r="ISY34" s="340"/>
      <c r="ITA34" s="335"/>
      <c r="ITB34" s="336"/>
      <c r="ITC34" s="337"/>
      <c r="ITD34" s="338"/>
      <c r="ITE34" s="338"/>
      <c r="ITF34" s="338"/>
      <c r="ITG34" s="339"/>
      <c r="IUD34" s="340"/>
      <c r="IUF34" s="335"/>
      <c r="IUG34" s="336"/>
      <c r="IUH34" s="337"/>
      <c r="IUI34" s="338"/>
      <c r="IUJ34" s="338"/>
      <c r="IUK34" s="338"/>
      <c r="IUL34" s="339"/>
      <c r="IVI34" s="340"/>
      <c r="IVK34" s="335"/>
      <c r="IVL34" s="336"/>
      <c r="IVM34" s="337"/>
      <c r="IVN34" s="338"/>
      <c r="IVO34" s="338"/>
      <c r="IVP34" s="338"/>
      <c r="IVQ34" s="339"/>
      <c r="IWN34" s="340"/>
      <c r="IWP34" s="335"/>
      <c r="IWQ34" s="336"/>
      <c r="IWR34" s="337"/>
      <c r="IWS34" s="338"/>
      <c r="IWT34" s="338"/>
      <c r="IWU34" s="338"/>
      <c r="IWV34" s="339"/>
      <c r="IXS34" s="340"/>
      <c r="IXU34" s="335"/>
      <c r="IXV34" s="336"/>
      <c r="IXW34" s="337"/>
      <c r="IXX34" s="338"/>
      <c r="IXY34" s="338"/>
      <c r="IXZ34" s="338"/>
      <c r="IYA34" s="339"/>
      <c r="IYX34" s="340"/>
      <c r="IYZ34" s="335"/>
      <c r="IZA34" s="336"/>
      <c r="IZB34" s="337"/>
      <c r="IZC34" s="338"/>
      <c r="IZD34" s="338"/>
      <c r="IZE34" s="338"/>
      <c r="IZF34" s="339"/>
      <c r="JAC34" s="340"/>
      <c r="JAE34" s="335"/>
      <c r="JAF34" s="336"/>
      <c r="JAG34" s="337"/>
      <c r="JAH34" s="338"/>
      <c r="JAI34" s="338"/>
      <c r="JAJ34" s="338"/>
      <c r="JAK34" s="339"/>
      <c r="JBH34" s="340"/>
      <c r="JBJ34" s="335"/>
      <c r="JBK34" s="336"/>
      <c r="JBL34" s="337"/>
      <c r="JBM34" s="338"/>
      <c r="JBN34" s="338"/>
      <c r="JBO34" s="338"/>
      <c r="JBP34" s="339"/>
      <c r="JCM34" s="340"/>
      <c r="JCO34" s="335"/>
      <c r="JCP34" s="336"/>
      <c r="JCQ34" s="337"/>
      <c r="JCR34" s="338"/>
      <c r="JCS34" s="338"/>
      <c r="JCT34" s="338"/>
      <c r="JCU34" s="339"/>
      <c r="JDR34" s="340"/>
      <c r="JDT34" s="335"/>
      <c r="JDU34" s="336"/>
      <c r="JDV34" s="337"/>
      <c r="JDW34" s="338"/>
      <c r="JDX34" s="338"/>
      <c r="JDY34" s="338"/>
      <c r="JDZ34" s="339"/>
      <c r="JEW34" s="340"/>
      <c r="JEY34" s="335"/>
      <c r="JEZ34" s="336"/>
      <c r="JFA34" s="337"/>
      <c r="JFB34" s="338"/>
      <c r="JFC34" s="338"/>
      <c r="JFD34" s="338"/>
      <c r="JFE34" s="339"/>
      <c r="JGB34" s="340"/>
      <c r="JGD34" s="335"/>
      <c r="JGE34" s="336"/>
      <c r="JGF34" s="337"/>
      <c r="JGG34" s="338"/>
      <c r="JGH34" s="338"/>
      <c r="JGI34" s="338"/>
      <c r="JGJ34" s="339"/>
      <c r="JHG34" s="340"/>
      <c r="JHI34" s="335"/>
      <c r="JHJ34" s="336"/>
      <c r="JHK34" s="337"/>
      <c r="JHL34" s="338"/>
      <c r="JHM34" s="338"/>
      <c r="JHN34" s="338"/>
      <c r="JHO34" s="339"/>
      <c r="JIL34" s="340"/>
      <c r="JIN34" s="335"/>
      <c r="JIO34" s="336"/>
      <c r="JIP34" s="337"/>
      <c r="JIQ34" s="338"/>
      <c r="JIR34" s="338"/>
      <c r="JIS34" s="338"/>
      <c r="JIT34" s="339"/>
      <c r="JJQ34" s="340"/>
      <c r="JJS34" s="335"/>
      <c r="JJT34" s="336"/>
      <c r="JJU34" s="337"/>
      <c r="JJV34" s="338"/>
      <c r="JJW34" s="338"/>
      <c r="JJX34" s="338"/>
      <c r="JJY34" s="339"/>
      <c r="JKV34" s="340"/>
      <c r="JKX34" s="335"/>
      <c r="JKY34" s="336"/>
      <c r="JKZ34" s="337"/>
      <c r="JLA34" s="338"/>
      <c r="JLB34" s="338"/>
      <c r="JLC34" s="338"/>
      <c r="JLD34" s="339"/>
      <c r="JMA34" s="340"/>
      <c r="JMC34" s="335"/>
      <c r="JMD34" s="336"/>
      <c r="JME34" s="337"/>
      <c r="JMF34" s="338"/>
      <c r="JMG34" s="338"/>
      <c r="JMH34" s="338"/>
      <c r="JMI34" s="339"/>
      <c r="JNF34" s="340"/>
      <c r="JNH34" s="335"/>
      <c r="JNI34" s="336"/>
      <c r="JNJ34" s="337"/>
      <c r="JNK34" s="338"/>
      <c r="JNL34" s="338"/>
      <c r="JNM34" s="338"/>
      <c r="JNN34" s="339"/>
      <c r="JOK34" s="340"/>
      <c r="JOM34" s="335"/>
      <c r="JON34" s="336"/>
      <c r="JOO34" s="337"/>
      <c r="JOP34" s="338"/>
      <c r="JOQ34" s="338"/>
      <c r="JOR34" s="338"/>
      <c r="JOS34" s="339"/>
      <c r="JPP34" s="340"/>
      <c r="JPR34" s="335"/>
      <c r="JPS34" s="336"/>
      <c r="JPT34" s="337"/>
      <c r="JPU34" s="338"/>
      <c r="JPV34" s="338"/>
      <c r="JPW34" s="338"/>
      <c r="JPX34" s="339"/>
      <c r="JQU34" s="340"/>
      <c r="JQW34" s="335"/>
      <c r="JQX34" s="336"/>
      <c r="JQY34" s="337"/>
      <c r="JQZ34" s="338"/>
      <c r="JRA34" s="338"/>
      <c r="JRB34" s="338"/>
      <c r="JRC34" s="339"/>
      <c r="JRZ34" s="340"/>
      <c r="JSB34" s="335"/>
      <c r="JSC34" s="336"/>
      <c r="JSD34" s="337"/>
      <c r="JSE34" s="338"/>
      <c r="JSF34" s="338"/>
      <c r="JSG34" s="338"/>
      <c r="JSH34" s="339"/>
      <c r="JTE34" s="340"/>
      <c r="JTG34" s="335"/>
      <c r="JTH34" s="336"/>
      <c r="JTI34" s="337"/>
      <c r="JTJ34" s="338"/>
      <c r="JTK34" s="338"/>
      <c r="JTL34" s="338"/>
      <c r="JTM34" s="339"/>
      <c r="JUJ34" s="340"/>
      <c r="JUL34" s="335"/>
      <c r="JUM34" s="336"/>
      <c r="JUN34" s="337"/>
      <c r="JUO34" s="338"/>
      <c r="JUP34" s="338"/>
      <c r="JUQ34" s="338"/>
      <c r="JUR34" s="339"/>
      <c r="JVO34" s="340"/>
      <c r="JVQ34" s="335"/>
      <c r="JVR34" s="336"/>
      <c r="JVS34" s="337"/>
      <c r="JVT34" s="338"/>
      <c r="JVU34" s="338"/>
      <c r="JVV34" s="338"/>
      <c r="JVW34" s="339"/>
      <c r="JWT34" s="340"/>
      <c r="JWV34" s="335"/>
      <c r="JWW34" s="336"/>
      <c r="JWX34" s="337"/>
      <c r="JWY34" s="338"/>
      <c r="JWZ34" s="338"/>
      <c r="JXA34" s="338"/>
      <c r="JXB34" s="339"/>
      <c r="JXY34" s="340"/>
      <c r="JYA34" s="335"/>
      <c r="JYB34" s="336"/>
      <c r="JYC34" s="337"/>
      <c r="JYD34" s="338"/>
      <c r="JYE34" s="338"/>
      <c r="JYF34" s="338"/>
      <c r="JYG34" s="339"/>
      <c r="JZD34" s="340"/>
      <c r="JZF34" s="335"/>
      <c r="JZG34" s="336"/>
      <c r="JZH34" s="337"/>
      <c r="JZI34" s="338"/>
      <c r="JZJ34" s="338"/>
      <c r="JZK34" s="338"/>
      <c r="JZL34" s="339"/>
      <c r="KAI34" s="340"/>
      <c r="KAK34" s="335"/>
      <c r="KAL34" s="336"/>
      <c r="KAM34" s="337"/>
      <c r="KAN34" s="338"/>
      <c r="KAO34" s="338"/>
      <c r="KAP34" s="338"/>
      <c r="KAQ34" s="339"/>
      <c r="KBN34" s="340"/>
      <c r="KBP34" s="335"/>
      <c r="KBQ34" s="336"/>
      <c r="KBR34" s="337"/>
      <c r="KBS34" s="338"/>
      <c r="KBT34" s="338"/>
      <c r="KBU34" s="338"/>
      <c r="KBV34" s="339"/>
      <c r="KCS34" s="340"/>
      <c r="KCU34" s="335"/>
      <c r="KCV34" s="336"/>
      <c r="KCW34" s="337"/>
      <c r="KCX34" s="338"/>
      <c r="KCY34" s="338"/>
      <c r="KCZ34" s="338"/>
      <c r="KDA34" s="339"/>
      <c r="KDX34" s="340"/>
      <c r="KDZ34" s="335"/>
      <c r="KEA34" s="336"/>
      <c r="KEB34" s="337"/>
      <c r="KEC34" s="338"/>
      <c r="KED34" s="338"/>
      <c r="KEE34" s="338"/>
      <c r="KEF34" s="339"/>
      <c r="KFC34" s="340"/>
      <c r="KFE34" s="335"/>
      <c r="KFF34" s="336"/>
      <c r="KFG34" s="337"/>
      <c r="KFH34" s="338"/>
      <c r="KFI34" s="338"/>
      <c r="KFJ34" s="338"/>
      <c r="KFK34" s="339"/>
      <c r="KGH34" s="340"/>
      <c r="KGJ34" s="335"/>
      <c r="KGK34" s="336"/>
      <c r="KGL34" s="337"/>
      <c r="KGM34" s="338"/>
      <c r="KGN34" s="338"/>
      <c r="KGO34" s="338"/>
      <c r="KGP34" s="339"/>
      <c r="KHM34" s="340"/>
      <c r="KHO34" s="335"/>
      <c r="KHP34" s="336"/>
      <c r="KHQ34" s="337"/>
      <c r="KHR34" s="338"/>
      <c r="KHS34" s="338"/>
      <c r="KHT34" s="338"/>
      <c r="KHU34" s="339"/>
      <c r="KIR34" s="340"/>
      <c r="KIT34" s="335"/>
      <c r="KIU34" s="336"/>
      <c r="KIV34" s="337"/>
      <c r="KIW34" s="338"/>
      <c r="KIX34" s="338"/>
      <c r="KIY34" s="338"/>
      <c r="KIZ34" s="339"/>
      <c r="KJW34" s="340"/>
      <c r="KJY34" s="335"/>
      <c r="KJZ34" s="336"/>
      <c r="KKA34" s="337"/>
      <c r="KKB34" s="338"/>
      <c r="KKC34" s="338"/>
      <c r="KKD34" s="338"/>
      <c r="KKE34" s="339"/>
      <c r="KLB34" s="340"/>
      <c r="KLD34" s="335"/>
      <c r="KLE34" s="336"/>
      <c r="KLF34" s="337"/>
      <c r="KLG34" s="338"/>
      <c r="KLH34" s="338"/>
      <c r="KLI34" s="338"/>
      <c r="KLJ34" s="339"/>
      <c r="KMG34" s="340"/>
      <c r="KMI34" s="335"/>
      <c r="KMJ34" s="336"/>
      <c r="KMK34" s="337"/>
      <c r="KML34" s="338"/>
      <c r="KMM34" s="338"/>
      <c r="KMN34" s="338"/>
      <c r="KMO34" s="339"/>
      <c r="KNL34" s="340"/>
      <c r="KNN34" s="335"/>
      <c r="KNO34" s="336"/>
      <c r="KNP34" s="337"/>
      <c r="KNQ34" s="338"/>
      <c r="KNR34" s="338"/>
      <c r="KNS34" s="338"/>
      <c r="KNT34" s="339"/>
      <c r="KOQ34" s="340"/>
      <c r="KOS34" s="335"/>
      <c r="KOT34" s="336"/>
      <c r="KOU34" s="337"/>
      <c r="KOV34" s="338"/>
      <c r="KOW34" s="338"/>
      <c r="KOX34" s="338"/>
      <c r="KOY34" s="339"/>
      <c r="KPV34" s="340"/>
      <c r="KPX34" s="335"/>
      <c r="KPY34" s="336"/>
      <c r="KPZ34" s="337"/>
      <c r="KQA34" s="338"/>
      <c r="KQB34" s="338"/>
      <c r="KQC34" s="338"/>
      <c r="KQD34" s="339"/>
      <c r="KRA34" s="340"/>
      <c r="KRC34" s="335"/>
      <c r="KRD34" s="336"/>
      <c r="KRE34" s="337"/>
      <c r="KRF34" s="338"/>
      <c r="KRG34" s="338"/>
      <c r="KRH34" s="338"/>
      <c r="KRI34" s="339"/>
      <c r="KSF34" s="340"/>
      <c r="KSH34" s="335"/>
      <c r="KSI34" s="336"/>
      <c r="KSJ34" s="337"/>
      <c r="KSK34" s="338"/>
      <c r="KSL34" s="338"/>
      <c r="KSM34" s="338"/>
      <c r="KSN34" s="339"/>
      <c r="KTK34" s="340"/>
      <c r="KTM34" s="335"/>
      <c r="KTN34" s="336"/>
      <c r="KTO34" s="337"/>
      <c r="KTP34" s="338"/>
      <c r="KTQ34" s="338"/>
      <c r="KTR34" s="338"/>
      <c r="KTS34" s="339"/>
      <c r="KUP34" s="340"/>
      <c r="KUR34" s="335"/>
      <c r="KUS34" s="336"/>
      <c r="KUT34" s="337"/>
      <c r="KUU34" s="338"/>
      <c r="KUV34" s="338"/>
      <c r="KUW34" s="338"/>
      <c r="KUX34" s="339"/>
      <c r="KVU34" s="340"/>
      <c r="KVW34" s="335"/>
      <c r="KVX34" s="336"/>
      <c r="KVY34" s="337"/>
      <c r="KVZ34" s="338"/>
      <c r="KWA34" s="338"/>
      <c r="KWB34" s="338"/>
      <c r="KWC34" s="339"/>
      <c r="KWZ34" s="340"/>
      <c r="KXB34" s="335"/>
      <c r="KXC34" s="336"/>
      <c r="KXD34" s="337"/>
      <c r="KXE34" s="338"/>
      <c r="KXF34" s="338"/>
      <c r="KXG34" s="338"/>
      <c r="KXH34" s="339"/>
      <c r="KYE34" s="340"/>
      <c r="KYG34" s="335"/>
      <c r="KYH34" s="336"/>
      <c r="KYI34" s="337"/>
      <c r="KYJ34" s="338"/>
      <c r="KYK34" s="338"/>
      <c r="KYL34" s="338"/>
      <c r="KYM34" s="339"/>
      <c r="KZJ34" s="340"/>
      <c r="KZL34" s="335"/>
      <c r="KZM34" s="336"/>
      <c r="KZN34" s="337"/>
      <c r="KZO34" s="338"/>
      <c r="KZP34" s="338"/>
      <c r="KZQ34" s="338"/>
      <c r="KZR34" s="339"/>
      <c r="LAO34" s="340"/>
      <c r="LAQ34" s="335"/>
      <c r="LAR34" s="336"/>
      <c r="LAS34" s="337"/>
      <c r="LAT34" s="338"/>
      <c r="LAU34" s="338"/>
      <c r="LAV34" s="338"/>
      <c r="LAW34" s="339"/>
      <c r="LBT34" s="340"/>
      <c r="LBV34" s="335"/>
      <c r="LBW34" s="336"/>
      <c r="LBX34" s="337"/>
      <c r="LBY34" s="338"/>
      <c r="LBZ34" s="338"/>
      <c r="LCA34" s="338"/>
      <c r="LCB34" s="339"/>
      <c r="LCY34" s="340"/>
      <c r="LDA34" s="335"/>
      <c r="LDB34" s="336"/>
      <c r="LDC34" s="337"/>
      <c r="LDD34" s="338"/>
      <c r="LDE34" s="338"/>
      <c r="LDF34" s="338"/>
      <c r="LDG34" s="339"/>
      <c r="LED34" s="340"/>
      <c r="LEF34" s="335"/>
      <c r="LEG34" s="336"/>
      <c r="LEH34" s="337"/>
      <c r="LEI34" s="338"/>
      <c r="LEJ34" s="338"/>
      <c r="LEK34" s="338"/>
      <c r="LEL34" s="339"/>
      <c r="LFI34" s="340"/>
      <c r="LFK34" s="335"/>
      <c r="LFL34" s="336"/>
      <c r="LFM34" s="337"/>
      <c r="LFN34" s="338"/>
      <c r="LFO34" s="338"/>
      <c r="LFP34" s="338"/>
      <c r="LFQ34" s="339"/>
      <c r="LGN34" s="340"/>
      <c r="LGP34" s="335"/>
      <c r="LGQ34" s="336"/>
      <c r="LGR34" s="337"/>
      <c r="LGS34" s="338"/>
      <c r="LGT34" s="338"/>
      <c r="LGU34" s="338"/>
      <c r="LGV34" s="339"/>
      <c r="LHS34" s="340"/>
      <c r="LHU34" s="335"/>
      <c r="LHV34" s="336"/>
      <c r="LHW34" s="337"/>
      <c r="LHX34" s="338"/>
      <c r="LHY34" s="338"/>
      <c r="LHZ34" s="338"/>
      <c r="LIA34" s="339"/>
      <c r="LIX34" s="340"/>
      <c r="LIZ34" s="335"/>
      <c r="LJA34" s="336"/>
      <c r="LJB34" s="337"/>
      <c r="LJC34" s="338"/>
      <c r="LJD34" s="338"/>
      <c r="LJE34" s="338"/>
      <c r="LJF34" s="339"/>
      <c r="LKC34" s="340"/>
      <c r="LKE34" s="335"/>
      <c r="LKF34" s="336"/>
      <c r="LKG34" s="337"/>
      <c r="LKH34" s="338"/>
      <c r="LKI34" s="338"/>
      <c r="LKJ34" s="338"/>
      <c r="LKK34" s="339"/>
      <c r="LLH34" s="340"/>
      <c r="LLJ34" s="335"/>
      <c r="LLK34" s="336"/>
      <c r="LLL34" s="337"/>
      <c r="LLM34" s="338"/>
      <c r="LLN34" s="338"/>
      <c r="LLO34" s="338"/>
      <c r="LLP34" s="339"/>
      <c r="LMM34" s="340"/>
      <c r="LMO34" s="335"/>
      <c r="LMP34" s="336"/>
      <c r="LMQ34" s="337"/>
      <c r="LMR34" s="338"/>
      <c r="LMS34" s="338"/>
      <c r="LMT34" s="338"/>
      <c r="LMU34" s="339"/>
      <c r="LNR34" s="340"/>
      <c r="LNT34" s="335"/>
      <c r="LNU34" s="336"/>
      <c r="LNV34" s="337"/>
      <c r="LNW34" s="338"/>
      <c r="LNX34" s="338"/>
      <c r="LNY34" s="338"/>
      <c r="LNZ34" s="339"/>
      <c r="LOW34" s="340"/>
      <c r="LOY34" s="335"/>
      <c r="LOZ34" s="336"/>
      <c r="LPA34" s="337"/>
      <c r="LPB34" s="338"/>
      <c r="LPC34" s="338"/>
      <c r="LPD34" s="338"/>
      <c r="LPE34" s="339"/>
      <c r="LQB34" s="340"/>
      <c r="LQD34" s="335"/>
      <c r="LQE34" s="336"/>
      <c r="LQF34" s="337"/>
      <c r="LQG34" s="338"/>
      <c r="LQH34" s="338"/>
      <c r="LQI34" s="338"/>
      <c r="LQJ34" s="339"/>
      <c r="LRG34" s="340"/>
      <c r="LRI34" s="335"/>
      <c r="LRJ34" s="336"/>
      <c r="LRK34" s="337"/>
      <c r="LRL34" s="338"/>
      <c r="LRM34" s="338"/>
      <c r="LRN34" s="338"/>
      <c r="LRO34" s="339"/>
      <c r="LSL34" s="340"/>
      <c r="LSN34" s="335"/>
      <c r="LSO34" s="336"/>
      <c r="LSP34" s="337"/>
      <c r="LSQ34" s="338"/>
      <c r="LSR34" s="338"/>
      <c r="LSS34" s="338"/>
      <c r="LST34" s="339"/>
      <c r="LTQ34" s="340"/>
      <c r="LTS34" s="335"/>
      <c r="LTT34" s="336"/>
      <c r="LTU34" s="337"/>
      <c r="LTV34" s="338"/>
      <c r="LTW34" s="338"/>
      <c r="LTX34" s="338"/>
      <c r="LTY34" s="339"/>
      <c r="LUV34" s="340"/>
      <c r="LUX34" s="335"/>
      <c r="LUY34" s="336"/>
      <c r="LUZ34" s="337"/>
      <c r="LVA34" s="338"/>
      <c r="LVB34" s="338"/>
      <c r="LVC34" s="338"/>
      <c r="LVD34" s="339"/>
      <c r="LWA34" s="340"/>
      <c r="LWC34" s="335"/>
      <c r="LWD34" s="336"/>
      <c r="LWE34" s="337"/>
      <c r="LWF34" s="338"/>
      <c r="LWG34" s="338"/>
      <c r="LWH34" s="338"/>
      <c r="LWI34" s="339"/>
      <c r="LXF34" s="340"/>
      <c r="LXH34" s="335"/>
      <c r="LXI34" s="336"/>
      <c r="LXJ34" s="337"/>
      <c r="LXK34" s="338"/>
      <c r="LXL34" s="338"/>
      <c r="LXM34" s="338"/>
      <c r="LXN34" s="339"/>
      <c r="LYK34" s="340"/>
      <c r="LYM34" s="335"/>
      <c r="LYN34" s="336"/>
      <c r="LYO34" s="337"/>
      <c r="LYP34" s="338"/>
      <c r="LYQ34" s="338"/>
      <c r="LYR34" s="338"/>
      <c r="LYS34" s="339"/>
      <c r="LZP34" s="340"/>
      <c r="LZR34" s="335"/>
      <c r="LZS34" s="336"/>
      <c r="LZT34" s="337"/>
      <c r="LZU34" s="338"/>
      <c r="LZV34" s="338"/>
      <c r="LZW34" s="338"/>
      <c r="LZX34" s="339"/>
      <c r="MAU34" s="340"/>
      <c r="MAW34" s="335"/>
      <c r="MAX34" s="336"/>
      <c r="MAY34" s="337"/>
      <c r="MAZ34" s="338"/>
      <c r="MBA34" s="338"/>
      <c r="MBB34" s="338"/>
      <c r="MBC34" s="339"/>
      <c r="MBZ34" s="340"/>
      <c r="MCB34" s="335"/>
      <c r="MCC34" s="336"/>
      <c r="MCD34" s="337"/>
      <c r="MCE34" s="338"/>
      <c r="MCF34" s="338"/>
      <c r="MCG34" s="338"/>
      <c r="MCH34" s="339"/>
      <c r="MDE34" s="340"/>
      <c r="MDG34" s="335"/>
      <c r="MDH34" s="336"/>
      <c r="MDI34" s="337"/>
      <c r="MDJ34" s="338"/>
      <c r="MDK34" s="338"/>
      <c r="MDL34" s="338"/>
      <c r="MDM34" s="339"/>
      <c r="MEJ34" s="340"/>
      <c r="MEL34" s="335"/>
      <c r="MEM34" s="336"/>
      <c r="MEN34" s="337"/>
      <c r="MEO34" s="338"/>
      <c r="MEP34" s="338"/>
      <c r="MEQ34" s="338"/>
      <c r="MER34" s="339"/>
      <c r="MFO34" s="340"/>
      <c r="MFQ34" s="335"/>
      <c r="MFR34" s="336"/>
      <c r="MFS34" s="337"/>
      <c r="MFT34" s="338"/>
      <c r="MFU34" s="338"/>
      <c r="MFV34" s="338"/>
      <c r="MFW34" s="339"/>
      <c r="MGT34" s="340"/>
      <c r="MGV34" s="335"/>
      <c r="MGW34" s="336"/>
      <c r="MGX34" s="337"/>
      <c r="MGY34" s="338"/>
      <c r="MGZ34" s="338"/>
      <c r="MHA34" s="338"/>
      <c r="MHB34" s="339"/>
      <c r="MHY34" s="340"/>
      <c r="MIA34" s="335"/>
      <c r="MIB34" s="336"/>
      <c r="MIC34" s="337"/>
      <c r="MID34" s="338"/>
      <c r="MIE34" s="338"/>
      <c r="MIF34" s="338"/>
      <c r="MIG34" s="339"/>
      <c r="MJD34" s="340"/>
      <c r="MJF34" s="335"/>
      <c r="MJG34" s="336"/>
      <c r="MJH34" s="337"/>
      <c r="MJI34" s="338"/>
      <c r="MJJ34" s="338"/>
      <c r="MJK34" s="338"/>
      <c r="MJL34" s="339"/>
      <c r="MKI34" s="340"/>
      <c r="MKK34" s="335"/>
      <c r="MKL34" s="336"/>
      <c r="MKM34" s="337"/>
      <c r="MKN34" s="338"/>
      <c r="MKO34" s="338"/>
      <c r="MKP34" s="338"/>
      <c r="MKQ34" s="339"/>
      <c r="MLN34" s="340"/>
      <c r="MLP34" s="335"/>
      <c r="MLQ34" s="336"/>
      <c r="MLR34" s="337"/>
      <c r="MLS34" s="338"/>
      <c r="MLT34" s="338"/>
      <c r="MLU34" s="338"/>
      <c r="MLV34" s="339"/>
      <c r="MMS34" s="340"/>
      <c r="MMU34" s="335"/>
      <c r="MMV34" s="336"/>
      <c r="MMW34" s="337"/>
      <c r="MMX34" s="338"/>
      <c r="MMY34" s="338"/>
      <c r="MMZ34" s="338"/>
      <c r="MNA34" s="339"/>
      <c r="MNX34" s="340"/>
      <c r="MNZ34" s="335"/>
      <c r="MOA34" s="336"/>
      <c r="MOB34" s="337"/>
      <c r="MOC34" s="338"/>
      <c r="MOD34" s="338"/>
      <c r="MOE34" s="338"/>
      <c r="MOF34" s="339"/>
      <c r="MPC34" s="340"/>
      <c r="MPE34" s="335"/>
      <c r="MPF34" s="336"/>
      <c r="MPG34" s="337"/>
      <c r="MPH34" s="338"/>
      <c r="MPI34" s="338"/>
      <c r="MPJ34" s="338"/>
      <c r="MPK34" s="339"/>
      <c r="MQH34" s="340"/>
      <c r="MQJ34" s="335"/>
      <c r="MQK34" s="336"/>
      <c r="MQL34" s="337"/>
      <c r="MQM34" s="338"/>
      <c r="MQN34" s="338"/>
      <c r="MQO34" s="338"/>
      <c r="MQP34" s="339"/>
      <c r="MRM34" s="340"/>
      <c r="MRO34" s="335"/>
      <c r="MRP34" s="336"/>
      <c r="MRQ34" s="337"/>
      <c r="MRR34" s="338"/>
      <c r="MRS34" s="338"/>
      <c r="MRT34" s="338"/>
      <c r="MRU34" s="339"/>
      <c r="MSR34" s="340"/>
      <c r="MST34" s="335"/>
      <c r="MSU34" s="336"/>
      <c r="MSV34" s="337"/>
      <c r="MSW34" s="338"/>
      <c r="MSX34" s="338"/>
      <c r="MSY34" s="338"/>
      <c r="MSZ34" s="339"/>
      <c r="MTW34" s="340"/>
      <c r="MTY34" s="335"/>
      <c r="MTZ34" s="336"/>
      <c r="MUA34" s="337"/>
      <c r="MUB34" s="338"/>
      <c r="MUC34" s="338"/>
      <c r="MUD34" s="338"/>
      <c r="MUE34" s="339"/>
      <c r="MVB34" s="340"/>
      <c r="MVD34" s="335"/>
      <c r="MVE34" s="336"/>
      <c r="MVF34" s="337"/>
      <c r="MVG34" s="338"/>
      <c r="MVH34" s="338"/>
      <c r="MVI34" s="338"/>
      <c r="MVJ34" s="339"/>
      <c r="MWG34" s="340"/>
      <c r="MWI34" s="335"/>
      <c r="MWJ34" s="336"/>
      <c r="MWK34" s="337"/>
      <c r="MWL34" s="338"/>
      <c r="MWM34" s="338"/>
      <c r="MWN34" s="338"/>
      <c r="MWO34" s="339"/>
      <c r="MXL34" s="340"/>
      <c r="MXN34" s="335"/>
      <c r="MXO34" s="336"/>
      <c r="MXP34" s="337"/>
      <c r="MXQ34" s="338"/>
      <c r="MXR34" s="338"/>
      <c r="MXS34" s="338"/>
      <c r="MXT34" s="339"/>
      <c r="MYQ34" s="340"/>
      <c r="MYS34" s="335"/>
      <c r="MYT34" s="336"/>
      <c r="MYU34" s="337"/>
      <c r="MYV34" s="338"/>
      <c r="MYW34" s="338"/>
      <c r="MYX34" s="338"/>
      <c r="MYY34" s="339"/>
      <c r="MZV34" s="340"/>
      <c r="MZX34" s="335"/>
      <c r="MZY34" s="336"/>
      <c r="MZZ34" s="337"/>
      <c r="NAA34" s="338"/>
      <c r="NAB34" s="338"/>
      <c r="NAC34" s="338"/>
      <c r="NAD34" s="339"/>
      <c r="NBA34" s="340"/>
      <c r="NBC34" s="335"/>
      <c r="NBD34" s="336"/>
      <c r="NBE34" s="337"/>
      <c r="NBF34" s="338"/>
      <c r="NBG34" s="338"/>
      <c r="NBH34" s="338"/>
      <c r="NBI34" s="339"/>
      <c r="NCF34" s="340"/>
      <c r="NCH34" s="335"/>
      <c r="NCI34" s="336"/>
      <c r="NCJ34" s="337"/>
      <c r="NCK34" s="338"/>
      <c r="NCL34" s="338"/>
      <c r="NCM34" s="338"/>
      <c r="NCN34" s="339"/>
      <c r="NDK34" s="340"/>
      <c r="NDM34" s="335"/>
      <c r="NDN34" s="336"/>
      <c r="NDO34" s="337"/>
      <c r="NDP34" s="338"/>
      <c r="NDQ34" s="338"/>
      <c r="NDR34" s="338"/>
      <c r="NDS34" s="339"/>
      <c r="NEP34" s="340"/>
      <c r="NER34" s="335"/>
      <c r="NES34" s="336"/>
      <c r="NET34" s="337"/>
      <c r="NEU34" s="338"/>
      <c r="NEV34" s="338"/>
      <c r="NEW34" s="338"/>
      <c r="NEX34" s="339"/>
      <c r="NFU34" s="340"/>
      <c r="NFW34" s="335"/>
      <c r="NFX34" s="336"/>
      <c r="NFY34" s="337"/>
      <c r="NFZ34" s="338"/>
      <c r="NGA34" s="338"/>
      <c r="NGB34" s="338"/>
      <c r="NGC34" s="339"/>
      <c r="NGZ34" s="340"/>
      <c r="NHB34" s="335"/>
      <c r="NHC34" s="336"/>
      <c r="NHD34" s="337"/>
      <c r="NHE34" s="338"/>
      <c r="NHF34" s="338"/>
      <c r="NHG34" s="338"/>
      <c r="NHH34" s="339"/>
      <c r="NIE34" s="340"/>
      <c r="NIG34" s="335"/>
      <c r="NIH34" s="336"/>
      <c r="NII34" s="337"/>
      <c r="NIJ34" s="338"/>
      <c r="NIK34" s="338"/>
      <c r="NIL34" s="338"/>
      <c r="NIM34" s="339"/>
      <c r="NJJ34" s="340"/>
      <c r="NJL34" s="335"/>
      <c r="NJM34" s="336"/>
      <c r="NJN34" s="337"/>
      <c r="NJO34" s="338"/>
      <c r="NJP34" s="338"/>
      <c r="NJQ34" s="338"/>
      <c r="NJR34" s="339"/>
      <c r="NKO34" s="340"/>
      <c r="NKQ34" s="335"/>
      <c r="NKR34" s="336"/>
      <c r="NKS34" s="337"/>
      <c r="NKT34" s="338"/>
      <c r="NKU34" s="338"/>
      <c r="NKV34" s="338"/>
      <c r="NKW34" s="339"/>
      <c r="NLT34" s="340"/>
      <c r="NLV34" s="335"/>
      <c r="NLW34" s="336"/>
      <c r="NLX34" s="337"/>
      <c r="NLY34" s="338"/>
      <c r="NLZ34" s="338"/>
      <c r="NMA34" s="338"/>
      <c r="NMB34" s="339"/>
      <c r="NMY34" s="340"/>
      <c r="NNA34" s="335"/>
      <c r="NNB34" s="336"/>
      <c r="NNC34" s="337"/>
      <c r="NND34" s="338"/>
      <c r="NNE34" s="338"/>
      <c r="NNF34" s="338"/>
      <c r="NNG34" s="339"/>
      <c r="NOD34" s="340"/>
      <c r="NOF34" s="335"/>
      <c r="NOG34" s="336"/>
      <c r="NOH34" s="337"/>
      <c r="NOI34" s="338"/>
      <c r="NOJ34" s="338"/>
      <c r="NOK34" s="338"/>
      <c r="NOL34" s="339"/>
      <c r="NPI34" s="340"/>
      <c r="NPK34" s="335"/>
      <c r="NPL34" s="336"/>
      <c r="NPM34" s="337"/>
      <c r="NPN34" s="338"/>
      <c r="NPO34" s="338"/>
      <c r="NPP34" s="338"/>
      <c r="NPQ34" s="339"/>
      <c r="NQN34" s="340"/>
      <c r="NQP34" s="335"/>
      <c r="NQQ34" s="336"/>
      <c r="NQR34" s="337"/>
      <c r="NQS34" s="338"/>
      <c r="NQT34" s="338"/>
      <c r="NQU34" s="338"/>
      <c r="NQV34" s="339"/>
      <c r="NRS34" s="340"/>
      <c r="NRU34" s="335"/>
      <c r="NRV34" s="336"/>
      <c r="NRW34" s="337"/>
      <c r="NRX34" s="338"/>
      <c r="NRY34" s="338"/>
      <c r="NRZ34" s="338"/>
      <c r="NSA34" s="339"/>
      <c r="NSX34" s="340"/>
      <c r="NSZ34" s="335"/>
      <c r="NTA34" s="336"/>
      <c r="NTB34" s="337"/>
      <c r="NTC34" s="338"/>
      <c r="NTD34" s="338"/>
      <c r="NTE34" s="338"/>
      <c r="NTF34" s="339"/>
      <c r="NUC34" s="340"/>
      <c r="NUE34" s="335"/>
      <c r="NUF34" s="336"/>
      <c r="NUG34" s="337"/>
      <c r="NUH34" s="338"/>
      <c r="NUI34" s="338"/>
      <c r="NUJ34" s="338"/>
      <c r="NUK34" s="339"/>
      <c r="NVH34" s="340"/>
      <c r="NVJ34" s="335"/>
      <c r="NVK34" s="336"/>
      <c r="NVL34" s="337"/>
      <c r="NVM34" s="338"/>
      <c r="NVN34" s="338"/>
      <c r="NVO34" s="338"/>
      <c r="NVP34" s="339"/>
      <c r="NWM34" s="340"/>
      <c r="NWO34" s="335"/>
      <c r="NWP34" s="336"/>
      <c r="NWQ34" s="337"/>
      <c r="NWR34" s="338"/>
      <c r="NWS34" s="338"/>
      <c r="NWT34" s="338"/>
      <c r="NWU34" s="339"/>
      <c r="NXR34" s="340"/>
      <c r="NXT34" s="335"/>
      <c r="NXU34" s="336"/>
      <c r="NXV34" s="337"/>
      <c r="NXW34" s="338"/>
      <c r="NXX34" s="338"/>
      <c r="NXY34" s="338"/>
      <c r="NXZ34" s="339"/>
      <c r="NYW34" s="340"/>
      <c r="NYY34" s="335"/>
      <c r="NYZ34" s="336"/>
      <c r="NZA34" s="337"/>
      <c r="NZB34" s="338"/>
      <c r="NZC34" s="338"/>
      <c r="NZD34" s="338"/>
      <c r="NZE34" s="339"/>
      <c r="OAB34" s="340"/>
      <c r="OAD34" s="335"/>
      <c r="OAE34" s="336"/>
      <c r="OAF34" s="337"/>
      <c r="OAG34" s="338"/>
      <c r="OAH34" s="338"/>
      <c r="OAI34" s="338"/>
      <c r="OAJ34" s="339"/>
      <c r="OBG34" s="340"/>
      <c r="OBI34" s="335"/>
      <c r="OBJ34" s="336"/>
      <c r="OBK34" s="337"/>
      <c r="OBL34" s="338"/>
      <c r="OBM34" s="338"/>
      <c r="OBN34" s="338"/>
      <c r="OBO34" s="339"/>
      <c r="OCL34" s="340"/>
      <c r="OCN34" s="335"/>
      <c r="OCO34" s="336"/>
      <c r="OCP34" s="337"/>
      <c r="OCQ34" s="338"/>
      <c r="OCR34" s="338"/>
      <c r="OCS34" s="338"/>
      <c r="OCT34" s="339"/>
      <c r="ODQ34" s="340"/>
      <c r="ODS34" s="335"/>
      <c r="ODT34" s="336"/>
      <c r="ODU34" s="337"/>
      <c r="ODV34" s="338"/>
      <c r="ODW34" s="338"/>
      <c r="ODX34" s="338"/>
      <c r="ODY34" s="339"/>
      <c r="OEV34" s="340"/>
      <c r="OEX34" s="335"/>
      <c r="OEY34" s="336"/>
      <c r="OEZ34" s="337"/>
      <c r="OFA34" s="338"/>
      <c r="OFB34" s="338"/>
      <c r="OFC34" s="338"/>
      <c r="OFD34" s="339"/>
      <c r="OGA34" s="340"/>
      <c r="OGC34" s="335"/>
      <c r="OGD34" s="336"/>
      <c r="OGE34" s="337"/>
      <c r="OGF34" s="338"/>
      <c r="OGG34" s="338"/>
      <c r="OGH34" s="338"/>
      <c r="OGI34" s="339"/>
      <c r="OHF34" s="340"/>
      <c r="OHH34" s="335"/>
      <c r="OHI34" s="336"/>
      <c r="OHJ34" s="337"/>
      <c r="OHK34" s="338"/>
      <c r="OHL34" s="338"/>
      <c r="OHM34" s="338"/>
      <c r="OHN34" s="339"/>
      <c r="OIK34" s="340"/>
      <c r="OIM34" s="335"/>
      <c r="OIN34" s="336"/>
      <c r="OIO34" s="337"/>
      <c r="OIP34" s="338"/>
      <c r="OIQ34" s="338"/>
      <c r="OIR34" s="338"/>
      <c r="OIS34" s="339"/>
      <c r="OJP34" s="340"/>
      <c r="OJR34" s="335"/>
      <c r="OJS34" s="336"/>
      <c r="OJT34" s="337"/>
      <c r="OJU34" s="338"/>
      <c r="OJV34" s="338"/>
      <c r="OJW34" s="338"/>
      <c r="OJX34" s="339"/>
      <c r="OKU34" s="340"/>
      <c r="OKW34" s="335"/>
      <c r="OKX34" s="336"/>
      <c r="OKY34" s="337"/>
      <c r="OKZ34" s="338"/>
      <c r="OLA34" s="338"/>
      <c r="OLB34" s="338"/>
      <c r="OLC34" s="339"/>
      <c r="OLZ34" s="340"/>
      <c r="OMB34" s="335"/>
      <c r="OMC34" s="336"/>
      <c r="OMD34" s="337"/>
      <c r="OME34" s="338"/>
      <c r="OMF34" s="338"/>
      <c r="OMG34" s="338"/>
      <c r="OMH34" s="339"/>
      <c r="ONE34" s="340"/>
      <c r="ONG34" s="335"/>
      <c r="ONH34" s="336"/>
      <c r="ONI34" s="337"/>
      <c r="ONJ34" s="338"/>
      <c r="ONK34" s="338"/>
      <c r="ONL34" s="338"/>
      <c r="ONM34" s="339"/>
      <c r="OOJ34" s="340"/>
      <c r="OOL34" s="335"/>
      <c r="OOM34" s="336"/>
      <c r="OON34" s="337"/>
      <c r="OOO34" s="338"/>
      <c r="OOP34" s="338"/>
      <c r="OOQ34" s="338"/>
      <c r="OOR34" s="339"/>
      <c r="OPO34" s="340"/>
      <c r="OPQ34" s="335"/>
      <c r="OPR34" s="336"/>
      <c r="OPS34" s="337"/>
      <c r="OPT34" s="338"/>
      <c r="OPU34" s="338"/>
      <c r="OPV34" s="338"/>
      <c r="OPW34" s="339"/>
      <c r="OQT34" s="340"/>
      <c r="OQV34" s="335"/>
      <c r="OQW34" s="336"/>
      <c r="OQX34" s="337"/>
      <c r="OQY34" s="338"/>
      <c r="OQZ34" s="338"/>
      <c r="ORA34" s="338"/>
      <c r="ORB34" s="339"/>
      <c r="ORY34" s="340"/>
      <c r="OSA34" s="335"/>
      <c r="OSB34" s="336"/>
      <c r="OSC34" s="337"/>
      <c r="OSD34" s="338"/>
      <c r="OSE34" s="338"/>
      <c r="OSF34" s="338"/>
      <c r="OSG34" s="339"/>
      <c r="OTD34" s="340"/>
      <c r="OTF34" s="335"/>
      <c r="OTG34" s="336"/>
      <c r="OTH34" s="337"/>
      <c r="OTI34" s="338"/>
      <c r="OTJ34" s="338"/>
      <c r="OTK34" s="338"/>
      <c r="OTL34" s="339"/>
      <c r="OUI34" s="340"/>
      <c r="OUK34" s="335"/>
      <c r="OUL34" s="336"/>
      <c r="OUM34" s="337"/>
      <c r="OUN34" s="338"/>
      <c r="OUO34" s="338"/>
      <c r="OUP34" s="338"/>
      <c r="OUQ34" s="339"/>
      <c r="OVN34" s="340"/>
      <c r="OVP34" s="335"/>
      <c r="OVQ34" s="336"/>
      <c r="OVR34" s="337"/>
      <c r="OVS34" s="338"/>
      <c r="OVT34" s="338"/>
      <c r="OVU34" s="338"/>
      <c r="OVV34" s="339"/>
      <c r="OWS34" s="340"/>
      <c r="OWU34" s="335"/>
      <c r="OWV34" s="336"/>
      <c r="OWW34" s="337"/>
      <c r="OWX34" s="338"/>
      <c r="OWY34" s="338"/>
      <c r="OWZ34" s="338"/>
      <c r="OXA34" s="339"/>
      <c r="OXX34" s="340"/>
      <c r="OXZ34" s="335"/>
      <c r="OYA34" s="336"/>
      <c r="OYB34" s="337"/>
      <c r="OYC34" s="338"/>
      <c r="OYD34" s="338"/>
      <c r="OYE34" s="338"/>
      <c r="OYF34" s="339"/>
      <c r="OZC34" s="340"/>
      <c r="OZE34" s="335"/>
      <c r="OZF34" s="336"/>
      <c r="OZG34" s="337"/>
      <c r="OZH34" s="338"/>
      <c r="OZI34" s="338"/>
      <c r="OZJ34" s="338"/>
      <c r="OZK34" s="339"/>
      <c r="PAH34" s="340"/>
      <c r="PAJ34" s="335"/>
      <c r="PAK34" s="336"/>
      <c r="PAL34" s="337"/>
      <c r="PAM34" s="338"/>
      <c r="PAN34" s="338"/>
      <c r="PAO34" s="338"/>
      <c r="PAP34" s="339"/>
      <c r="PBM34" s="340"/>
      <c r="PBO34" s="335"/>
      <c r="PBP34" s="336"/>
      <c r="PBQ34" s="337"/>
      <c r="PBR34" s="338"/>
      <c r="PBS34" s="338"/>
      <c r="PBT34" s="338"/>
      <c r="PBU34" s="339"/>
      <c r="PCR34" s="340"/>
      <c r="PCT34" s="335"/>
      <c r="PCU34" s="336"/>
      <c r="PCV34" s="337"/>
      <c r="PCW34" s="338"/>
      <c r="PCX34" s="338"/>
      <c r="PCY34" s="338"/>
      <c r="PCZ34" s="339"/>
      <c r="PDW34" s="340"/>
      <c r="PDY34" s="335"/>
      <c r="PDZ34" s="336"/>
      <c r="PEA34" s="337"/>
      <c r="PEB34" s="338"/>
      <c r="PEC34" s="338"/>
      <c r="PED34" s="338"/>
      <c r="PEE34" s="339"/>
      <c r="PFB34" s="340"/>
      <c r="PFD34" s="335"/>
      <c r="PFE34" s="336"/>
      <c r="PFF34" s="337"/>
      <c r="PFG34" s="338"/>
      <c r="PFH34" s="338"/>
      <c r="PFI34" s="338"/>
      <c r="PFJ34" s="339"/>
      <c r="PGG34" s="340"/>
      <c r="PGI34" s="335"/>
      <c r="PGJ34" s="336"/>
      <c r="PGK34" s="337"/>
      <c r="PGL34" s="338"/>
      <c r="PGM34" s="338"/>
      <c r="PGN34" s="338"/>
      <c r="PGO34" s="339"/>
      <c r="PHL34" s="340"/>
      <c r="PHN34" s="335"/>
      <c r="PHO34" s="336"/>
      <c r="PHP34" s="337"/>
      <c r="PHQ34" s="338"/>
      <c r="PHR34" s="338"/>
      <c r="PHS34" s="338"/>
      <c r="PHT34" s="339"/>
      <c r="PIQ34" s="340"/>
      <c r="PIS34" s="335"/>
      <c r="PIT34" s="336"/>
      <c r="PIU34" s="337"/>
      <c r="PIV34" s="338"/>
      <c r="PIW34" s="338"/>
      <c r="PIX34" s="338"/>
      <c r="PIY34" s="339"/>
      <c r="PJV34" s="340"/>
      <c r="PJX34" s="335"/>
      <c r="PJY34" s="336"/>
      <c r="PJZ34" s="337"/>
      <c r="PKA34" s="338"/>
      <c r="PKB34" s="338"/>
      <c r="PKC34" s="338"/>
      <c r="PKD34" s="339"/>
      <c r="PLA34" s="340"/>
      <c r="PLC34" s="335"/>
      <c r="PLD34" s="336"/>
      <c r="PLE34" s="337"/>
      <c r="PLF34" s="338"/>
      <c r="PLG34" s="338"/>
      <c r="PLH34" s="338"/>
      <c r="PLI34" s="339"/>
      <c r="PMF34" s="340"/>
      <c r="PMH34" s="335"/>
      <c r="PMI34" s="336"/>
      <c r="PMJ34" s="337"/>
      <c r="PMK34" s="338"/>
      <c r="PML34" s="338"/>
      <c r="PMM34" s="338"/>
      <c r="PMN34" s="339"/>
      <c r="PNK34" s="340"/>
      <c r="PNM34" s="335"/>
      <c r="PNN34" s="336"/>
      <c r="PNO34" s="337"/>
      <c r="PNP34" s="338"/>
      <c r="PNQ34" s="338"/>
      <c r="PNR34" s="338"/>
      <c r="PNS34" s="339"/>
      <c r="POP34" s="340"/>
      <c r="POR34" s="335"/>
      <c r="POS34" s="336"/>
      <c r="POT34" s="337"/>
      <c r="POU34" s="338"/>
      <c r="POV34" s="338"/>
      <c r="POW34" s="338"/>
      <c r="POX34" s="339"/>
      <c r="PPU34" s="340"/>
      <c r="PPW34" s="335"/>
      <c r="PPX34" s="336"/>
      <c r="PPY34" s="337"/>
      <c r="PPZ34" s="338"/>
      <c r="PQA34" s="338"/>
      <c r="PQB34" s="338"/>
      <c r="PQC34" s="339"/>
      <c r="PQZ34" s="340"/>
      <c r="PRB34" s="335"/>
      <c r="PRC34" s="336"/>
      <c r="PRD34" s="337"/>
      <c r="PRE34" s="338"/>
      <c r="PRF34" s="338"/>
      <c r="PRG34" s="338"/>
      <c r="PRH34" s="339"/>
      <c r="PSE34" s="340"/>
      <c r="PSG34" s="335"/>
      <c r="PSH34" s="336"/>
      <c r="PSI34" s="337"/>
      <c r="PSJ34" s="338"/>
      <c r="PSK34" s="338"/>
      <c r="PSL34" s="338"/>
      <c r="PSM34" s="339"/>
      <c r="PTJ34" s="340"/>
      <c r="PTL34" s="335"/>
      <c r="PTM34" s="336"/>
      <c r="PTN34" s="337"/>
      <c r="PTO34" s="338"/>
      <c r="PTP34" s="338"/>
      <c r="PTQ34" s="338"/>
      <c r="PTR34" s="339"/>
      <c r="PUO34" s="340"/>
      <c r="PUQ34" s="335"/>
      <c r="PUR34" s="336"/>
      <c r="PUS34" s="337"/>
      <c r="PUT34" s="338"/>
      <c r="PUU34" s="338"/>
      <c r="PUV34" s="338"/>
      <c r="PUW34" s="339"/>
      <c r="PVT34" s="340"/>
      <c r="PVV34" s="335"/>
      <c r="PVW34" s="336"/>
      <c r="PVX34" s="337"/>
      <c r="PVY34" s="338"/>
      <c r="PVZ34" s="338"/>
      <c r="PWA34" s="338"/>
      <c r="PWB34" s="339"/>
      <c r="PWY34" s="340"/>
      <c r="PXA34" s="335"/>
      <c r="PXB34" s="336"/>
      <c r="PXC34" s="337"/>
      <c r="PXD34" s="338"/>
      <c r="PXE34" s="338"/>
      <c r="PXF34" s="338"/>
      <c r="PXG34" s="339"/>
      <c r="PYD34" s="340"/>
      <c r="PYF34" s="335"/>
      <c r="PYG34" s="336"/>
      <c r="PYH34" s="337"/>
      <c r="PYI34" s="338"/>
      <c r="PYJ34" s="338"/>
      <c r="PYK34" s="338"/>
      <c r="PYL34" s="339"/>
      <c r="PZI34" s="340"/>
      <c r="PZK34" s="335"/>
      <c r="PZL34" s="336"/>
      <c r="PZM34" s="337"/>
      <c r="PZN34" s="338"/>
      <c r="PZO34" s="338"/>
      <c r="PZP34" s="338"/>
      <c r="PZQ34" s="339"/>
      <c r="QAN34" s="340"/>
      <c r="QAP34" s="335"/>
      <c r="QAQ34" s="336"/>
      <c r="QAR34" s="337"/>
      <c r="QAS34" s="338"/>
      <c r="QAT34" s="338"/>
      <c r="QAU34" s="338"/>
      <c r="QAV34" s="339"/>
      <c r="QBS34" s="340"/>
      <c r="QBU34" s="335"/>
      <c r="QBV34" s="336"/>
      <c r="QBW34" s="337"/>
      <c r="QBX34" s="338"/>
      <c r="QBY34" s="338"/>
      <c r="QBZ34" s="338"/>
      <c r="QCA34" s="339"/>
      <c r="QCX34" s="340"/>
      <c r="QCZ34" s="335"/>
      <c r="QDA34" s="336"/>
      <c r="QDB34" s="337"/>
      <c r="QDC34" s="338"/>
      <c r="QDD34" s="338"/>
      <c r="QDE34" s="338"/>
      <c r="QDF34" s="339"/>
      <c r="QEC34" s="340"/>
      <c r="QEE34" s="335"/>
      <c r="QEF34" s="336"/>
      <c r="QEG34" s="337"/>
      <c r="QEH34" s="338"/>
      <c r="QEI34" s="338"/>
      <c r="QEJ34" s="338"/>
      <c r="QEK34" s="339"/>
      <c r="QFH34" s="340"/>
      <c r="QFJ34" s="335"/>
      <c r="QFK34" s="336"/>
      <c r="QFL34" s="337"/>
      <c r="QFM34" s="338"/>
      <c r="QFN34" s="338"/>
      <c r="QFO34" s="338"/>
      <c r="QFP34" s="339"/>
      <c r="QGM34" s="340"/>
      <c r="QGO34" s="335"/>
      <c r="QGP34" s="336"/>
      <c r="QGQ34" s="337"/>
      <c r="QGR34" s="338"/>
      <c r="QGS34" s="338"/>
      <c r="QGT34" s="338"/>
      <c r="QGU34" s="339"/>
      <c r="QHR34" s="340"/>
      <c r="QHT34" s="335"/>
      <c r="QHU34" s="336"/>
      <c r="QHV34" s="337"/>
      <c r="QHW34" s="338"/>
      <c r="QHX34" s="338"/>
      <c r="QHY34" s="338"/>
      <c r="QHZ34" s="339"/>
      <c r="QIW34" s="340"/>
      <c r="QIY34" s="335"/>
      <c r="QIZ34" s="336"/>
      <c r="QJA34" s="337"/>
      <c r="QJB34" s="338"/>
      <c r="QJC34" s="338"/>
      <c r="QJD34" s="338"/>
      <c r="QJE34" s="339"/>
      <c r="QKB34" s="340"/>
      <c r="QKD34" s="335"/>
      <c r="QKE34" s="336"/>
      <c r="QKF34" s="337"/>
      <c r="QKG34" s="338"/>
      <c r="QKH34" s="338"/>
      <c r="QKI34" s="338"/>
      <c r="QKJ34" s="339"/>
      <c r="QLG34" s="340"/>
      <c r="QLI34" s="335"/>
      <c r="QLJ34" s="336"/>
      <c r="QLK34" s="337"/>
      <c r="QLL34" s="338"/>
      <c r="QLM34" s="338"/>
      <c r="QLN34" s="338"/>
      <c r="QLO34" s="339"/>
      <c r="QML34" s="340"/>
      <c r="QMN34" s="335"/>
      <c r="QMO34" s="336"/>
      <c r="QMP34" s="337"/>
      <c r="QMQ34" s="338"/>
      <c r="QMR34" s="338"/>
      <c r="QMS34" s="338"/>
      <c r="QMT34" s="339"/>
      <c r="QNQ34" s="340"/>
      <c r="QNS34" s="335"/>
      <c r="QNT34" s="336"/>
      <c r="QNU34" s="337"/>
      <c r="QNV34" s="338"/>
      <c r="QNW34" s="338"/>
      <c r="QNX34" s="338"/>
      <c r="QNY34" s="339"/>
      <c r="QOV34" s="340"/>
      <c r="QOX34" s="335"/>
      <c r="QOY34" s="336"/>
      <c r="QOZ34" s="337"/>
      <c r="QPA34" s="338"/>
      <c r="QPB34" s="338"/>
      <c r="QPC34" s="338"/>
      <c r="QPD34" s="339"/>
      <c r="QQA34" s="340"/>
      <c r="QQC34" s="335"/>
      <c r="QQD34" s="336"/>
      <c r="QQE34" s="337"/>
      <c r="QQF34" s="338"/>
      <c r="QQG34" s="338"/>
      <c r="QQH34" s="338"/>
      <c r="QQI34" s="339"/>
      <c r="QRF34" s="340"/>
      <c r="QRH34" s="335"/>
      <c r="QRI34" s="336"/>
      <c r="QRJ34" s="337"/>
      <c r="QRK34" s="338"/>
      <c r="QRL34" s="338"/>
      <c r="QRM34" s="338"/>
      <c r="QRN34" s="339"/>
      <c r="QSK34" s="340"/>
      <c r="QSM34" s="335"/>
      <c r="QSN34" s="336"/>
      <c r="QSO34" s="337"/>
      <c r="QSP34" s="338"/>
      <c r="QSQ34" s="338"/>
      <c r="QSR34" s="338"/>
      <c r="QSS34" s="339"/>
      <c r="QTP34" s="340"/>
      <c r="QTR34" s="335"/>
      <c r="QTS34" s="336"/>
      <c r="QTT34" s="337"/>
      <c r="QTU34" s="338"/>
      <c r="QTV34" s="338"/>
      <c r="QTW34" s="338"/>
      <c r="QTX34" s="339"/>
      <c r="QUU34" s="340"/>
      <c r="QUW34" s="335"/>
      <c r="QUX34" s="336"/>
      <c r="QUY34" s="337"/>
      <c r="QUZ34" s="338"/>
      <c r="QVA34" s="338"/>
      <c r="QVB34" s="338"/>
      <c r="QVC34" s="339"/>
      <c r="QVZ34" s="340"/>
      <c r="QWB34" s="335"/>
      <c r="QWC34" s="336"/>
      <c r="QWD34" s="337"/>
      <c r="QWE34" s="338"/>
      <c r="QWF34" s="338"/>
      <c r="QWG34" s="338"/>
      <c r="QWH34" s="339"/>
      <c r="QXE34" s="340"/>
      <c r="QXG34" s="335"/>
      <c r="QXH34" s="336"/>
      <c r="QXI34" s="337"/>
      <c r="QXJ34" s="338"/>
      <c r="QXK34" s="338"/>
      <c r="QXL34" s="338"/>
      <c r="QXM34" s="339"/>
      <c r="QYJ34" s="340"/>
      <c r="QYL34" s="335"/>
      <c r="QYM34" s="336"/>
      <c r="QYN34" s="337"/>
      <c r="QYO34" s="338"/>
      <c r="QYP34" s="338"/>
      <c r="QYQ34" s="338"/>
      <c r="QYR34" s="339"/>
      <c r="QZO34" s="340"/>
      <c r="QZQ34" s="335"/>
      <c r="QZR34" s="336"/>
      <c r="QZS34" s="337"/>
      <c r="QZT34" s="338"/>
      <c r="QZU34" s="338"/>
      <c r="QZV34" s="338"/>
      <c r="QZW34" s="339"/>
      <c r="RAT34" s="340"/>
      <c r="RAV34" s="335"/>
      <c r="RAW34" s="336"/>
      <c r="RAX34" s="337"/>
      <c r="RAY34" s="338"/>
      <c r="RAZ34" s="338"/>
      <c r="RBA34" s="338"/>
      <c r="RBB34" s="339"/>
      <c r="RBY34" s="340"/>
      <c r="RCA34" s="335"/>
      <c r="RCB34" s="336"/>
      <c r="RCC34" s="337"/>
      <c r="RCD34" s="338"/>
      <c r="RCE34" s="338"/>
      <c r="RCF34" s="338"/>
      <c r="RCG34" s="339"/>
      <c r="RDD34" s="340"/>
      <c r="RDF34" s="335"/>
      <c r="RDG34" s="336"/>
      <c r="RDH34" s="337"/>
      <c r="RDI34" s="338"/>
      <c r="RDJ34" s="338"/>
      <c r="RDK34" s="338"/>
      <c r="RDL34" s="339"/>
      <c r="REI34" s="340"/>
      <c r="REK34" s="335"/>
      <c r="REL34" s="336"/>
      <c r="REM34" s="337"/>
      <c r="REN34" s="338"/>
      <c r="REO34" s="338"/>
      <c r="REP34" s="338"/>
      <c r="REQ34" s="339"/>
      <c r="RFN34" s="340"/>
      <c r="RFP34" s="335"/>
      <c r="RFQ34" s="336"/>
      <c r="RFR34" s="337"/>
      <c r="RFS34" s="338"/>
      <c r="RFT34" s="338"/>
      <c r="RFU34" s="338"/>
      <c r="RFV34" s="339"/>
      <c r="RGS34" s="340"/>
      <c r="RGU34" s="335"/>
      <c r="RGV34" s="336"/>
      <c r="RGW34" s="337"/>
      <c r="RGX34" s="338"/>
      <c r="RGY34" s="338"/>
      <c r="RGZ34" s="338"/>
      <c r="RHA34" s="339"/>
      <c r="RHX34" s="340"/>
      <c r="RHZ34" s="335"/>
      <c r="RIA34" s="336"/>
      <c r="RIB34" s="337"/>
      <c r="RIC34" s="338"/>
      <c r="RID34" s="338"/>
      <c r="RIE34" s="338"/>
      <c r="RIF34" s="339"/>
      <c r="RJC34" s="340"/>
      <c r="RJE34" s="335"/>
      <c r="RJF34" s="336"/>
      <c r="RJG34" s="337"/>
      <c r="RJH34" s="338"/>
      <c r="RJI34" s="338"/>
      <c r="RJJ34" s="338"/>
      <c r="RJK34" s="339"/>
      <c r="RKH34" s="340"/>
      <c r="RKJ34" s="335"/>
      <c r="RKK34" s="336"/>
      <c r="RKL34" s="337"/>
      <c r="RKM34" s="338"/>
      <c r="RKN34" s="338"/>
      <c r="RKO34" s="338"/>
      <c r="RKP34" s="339"/>
      <c r="RLM34" s="340"/>
      <c r="RLO34" s="335"/>
      <c r="RLP34" s="336"/>
      <c r="RLQ34" s="337"/>
      <c r="RLR34" s="338"/>
      <c r="RLS34" s="338"/>
      <c r="RLT34" s="338"/>
      <c r="RLU34" s="339"/>
      <c r="RMR34" s="340"/>
      <c r="RMT34" s="335"/>
      <c r="RMU34" s="336"/>
      <c r="RMV34" s="337"/>
      <c r="RMW34" s="338"/>
      <c r="RMX34" s="338"/>
      <c r="RMY34" s="338"/>
      <c r="RMZ34" s="339"/>
      <c r="RNW34" s="340"/>
      <c r="RNY34" s="335"/>
      <c r="RNZ34" s="336"/>
      <c r="ROA34" s="337"/>
      <c r="ROB34" s="338"/>
      <c r="ROC34" s="338"/>
      <c r="ROD34" s="338"/>
      <c r="ROE34" s="339"/>
      <c r="RPB34" s="340"/>
      <c r="RPD34" s="335"/>
      <c r="RPE34" s="336"/>
      <c r="RPF34" s="337"/>
      <c r="RPG34" s="338"/>
      <c r="RPH34" s="338"/>
      <c r="RPI34" s="338"/>
      <c r="RPJ34" s="339"/>
      <c r="RQG34" s="340"/>
      <c r="RQI34" s="335"/>
      <c r="RQJ34" s="336"/>
      <c r="RQK34" s="337"/>
      <c r="RQL34" s="338"/>
      <c r="RQM34" s="338"/>
      <c r="RQN34" s="338"/>
      <c r="RQO34" s="339"/>
      <c r="RRL34" s="340"/>
      <c r="RRN34" s="335"/>
      <c r="RRO34" s="336"/>
      <c r="RRP34" s="337"/>
      <c r="RRQ34" s="338"/>
      <c r="RRR34" s="338"/>
      <c r="RRS34" s="338"/>
      <c r="RRT34" s="339"/>
      <c r="RSQ34" s="340"/>
      <c r="RSS34" s="335"/>
      <c r="RST34" s="336"/>
      <c r="RSU34" s="337"/>
      <c r="RSV34" s="338"/>
      <c r="RSW34" s="338"/>
      <c r="RSX34" s="338"/>
      <c r="RSY34" s="339"/>
      <c r="RTV34" s="340"/>
      <c r="RTX34" s="335"/>
      <c r="RTY34" s="336"/>
      <c r="RTZ34" s="337"/>
      <c r="RUA34" s="338"/>
      <c r="RUB34" s="338"/>
      <c r="RUC34" s="338"/>
      <c r="RUD34" s="339"/>
      <c r="RVA34" s="340"/>
      <c r="RVC34" s="335"/>
      <c r="RVD34" s="336"/>
      <c r="RVE34" s="337"/>
      <c r="RVF34" s="338"/>
      <c r="RVG34" s="338"/>
      <c r="RVH34" s="338"/>
      <c r="RVI34" s="339"/>
      <c r="RWF34" s="340"/>
      <c r="RWH34" s="335"/>
      <c r="RWI34" s="336"/>
      <c r="RWJ34" s="337"/>
      <c r="RWK34" s="338"/>
      <c r="RWL34" s="338"/>
      <c r="RWM34" s="338"/>
      <c r="RWN34" s="339"/>
      <c r="RXK34" s="340"/>
      <c r="RXM34" s="335"/>
      <c r="RXN34" s="336"/>
      <c r="RXO34" s="337"/>
      <c r="RXP34" s="338"/>
      <c r="RXQ34" s="338"/>
      <c r="RXR34" s="338"/>
      <c r="RXS34" s="339"/>
      <c r="RYP34" s="340"/>
      <c r="RYR34" s="335"/>
      <c r="RYS34" s="336"/>
      <c r="RYT34" s="337"/>
      <c r="RYU34" s="338"/>
      <c r="RYV34" s="338"/>
      <c r="RYW34" s="338"/>
      <c r="RYX34" s="339"/>
      <c r="RZU34" s="340"/>
      <c r="RZW34" s="335"/>
      <c r="RZX34" s="336"/>
      <c r="RZY34" s="337"/>
      <c r="RZZ34" s="338"/>
      <c r="SAA34" s="338"/>
      <c r="SAB34" s="338"/>
      <c r="SAC34" s="339"/>
      <c r="SAZ34" s="340"/>
      <c r="SBB34" s="335"/>
      <c r="SBC34" s="336"/>
      <c r="SBD34" s="337"/>
      <c r="SBE34" s="338"/>
      <c r="SBF34" s="338"/>
      <c r="SBG34" s="338"/>
      <c r="SBH34" s="339"/>
      <c r="SCE34" s="340"/>
      <c r="SCG34" s="335"/>
      <c r="SCH34" s="336"/>
      <c r="SCI34" s="337"/>
      <c r="SCJ34" s="338"/>
      <c r="SCK34" s="338"/>
      <c r="SCL34" s="338"/>
      <c r="SCM34" s="339"/>
      <c r="SDJ34" s="340"/>
      <c r="SDL34" s="335"/>
      <c r="SDM34" s="336"/>
      <c r="SDN34" s="337"/>
      <c r="SDO34" s="338"/>
      <c r="SDP34" s="338"/>
      <c r="SDQ34" s="338"/>
      <c r="SDR34" s="339"/>
      <c r="SEO34" s="340"/>
      <c r="SEQ34" s="335"/>
      <c r="SER34" s="336"/>
      <c r="SES34" s="337"/>
      <c r="SET34" s="338"/>
      <c r="SEU34" s="338"/>
      <c r="SEV34" s="338"/>
      <c r="SEW34" s="339"/>
      <c r="SFT34" s="340"/>
      <c r="SFV34" s="335"/>
      <c r="SFW34" s="336"/>
      <c r="SFX34" s="337"/>
      <c r="SFY34" s="338"/>
      <c r="SFZ34" s="338"/>
      <c r="SGA34" s="338"/>
      <c r="SGB34" s="339"/>
      <c r="SGY34" s="340"/>
      <c r="SHA34" s="335"/>
      <c r="SHB34" s="336"/>
      <c r="SHC34" s="337"/>
      <c r="SHD34" s="338"/>
      <c r="SHE34" s="338"/>
      <c r="SHF34" s="338"/>
      <c r="SHG34" s="339"/>
      <c r="SID34" s="340"/>
      <c r="SIF34" s="335"/>
      <c r="SIG34" s="336"/>
      <c r="SIH34" s="337"/>
      <c r="SII34" s="338"/>
      <c r="SIJ34" s="338"/>
      <c r="SIK34" s="338"/>
      <c r="SIL34" s="339"/>
      <c r="SJI34" s="340"/>
      <c r="SJK34" s="335"/>
      <c r="SJL34" s="336"/>
      <c r="SJM34" s="337"/>
      <c r="SJN34" s="338"/>
      <c r="SJO34" s="338"/>
      <c r="SJP34" s="338"/>
      <c r="SJQ34" s="339"/>
      <c r="SKN34" s="340"/>
      <c r="SKP34" s="335"/>
      <c r="SKQ34" s="336"/>
      <c r="SKR34" s="337"/>
      <c r="SKS34" s="338"/>
      <c r="SKT34" s="338"/>
      <c r="SKU34" s="338"/>
      <c r="SKV34" s="339"/>
      <c r="SLS34" s="340"/>
      <c r="SLU34" s="335"/>
      <c r="SLV34" s="336"/>
      <c r="SLW34" s="337"/>
      <c r="SLX34" s="338"/>
      <c r="SLY34" s="338"/>
      <c r="SLZ34" s="338"/>
      <c r="SMA34" s="339"/>
      <c r="SMX34" s="340"/>
      <c r="SMZ34" s="335"/>
      <c r="SNA34" s="336"/>
      <c r="SNB34" s="337"/>
      <c r="SNC34" s="338"/>
      <c r="SND34" s="338"/>
      <c r="SNE34" s="338"/>
      <c r="SNF34" s="339"/>
      <c r="SOC34" s="340"/>
      <c r="SOE34" s="335"/>
      <c r="SOF34" s="336"/>
      <c r="SOG34" s="337"/>
      <c r="SOH34" s="338"/>
      <c r="SOI34" s="338"/>
      <c r="SOJ34" s="338"/>
      <c r="SOK34" s="339"/>
      <c r="SPH34" s="340"/>
      <c r="SPJ34" s="335"/>
      <c r="SPK34" s="336"/>
      <c r="SPL34" s="337"/>
      <c r="SPM34" s="338"/>
      <c r="SPN34" s="338"/>
      <c r="SPO34" s="338"/>
      <c r="SPP34" s="339"/>
      <c r="SQM34" s="340"/>
      <c r="SQO34" s="335"/>
      <c r="SQP34" s="336"/>
      <c r="SQQ34" s="337"/>
      <c r="SQR34" s="338"/>
      <c r="SQS34" s="338"/>
      <c r="SQT34" s="338"/>
      <c r="SQU34" s="339"/>
      <c r="SRR34" s="340"/>
      <c r="SRT34" s="335"/>
      <c r="SRU34" s="336"/>
      <c r="SRV34" s="337"/>
      <c r="SRW34" s="338"/>
      <c r="SRX34" s="338"/>
      <c r="SRY34" s="338"/>
      <c r="SRZ34" s="339"/>
      <c r="SSW34" s="340"/>
      <c r="SSY34" s="335"/>
      <c r="SSZ34" s="336"/>
      <c r="STA34" s="337"/>
      <c r="STB34" s="338"/>
      <c r="STC34" s="338"/>
      <c r="STD34" s="338"/>
      <c r="STE34" s="339"/>
      <c r="SUB34" s="340"/>
      <c r="SUD34" s="335"/>
      <c r="SUE34" s="336"/>
      <c r="SUF34" s="337"/>
      <c r="SUG34" s="338"/>
      <c r="SUH34" s="338"/>
      <c r="SUI34" s="338"/>
      <c r="SUJ34" s="339"/>
      <c r="SVG34" s="340"/>
      <c r="SVI34" s="335"/>
      <c r="SVJ34" s="336"/>
      <c r="SVK34" s="337"/>
      <c r="SVL34" s="338"/>
      <c r="SVM34" s="338"/>
      <c r="SVN34" s="338"/>
      <c r="SVO34" s="339"/>
      <c r="SWL34" s="340"/>
      <c r="SWN34" s="335"/>
      <c r="SWO34" s="336"/>
      <c r="SWP34" s="337"/>
      <c r="SWQ34" s="338"/>
      <c r="SWR34" s="338"/>
      <c r="SWS34" s="338"/>
      <c r="SWT34" s="339"/>
      <c r="SXQ34" s="340"/>
      <c r="SXS34" s="335"/>
      <c r="SXT34" s="336"/>
      <c r="SXU34" s="337"/>
      <c r="SXV34" s="338"/>
      <c r="SXW34" s="338"/>
      <c r="SXX34" s="338"/>
      <c r="SXY34" s="339"/>
      <c r="SYV34" s="340"/>
      <c r="SYX34" s="335"/>
      <c r="SYY34" s="336"/>
      <c r="SYZ34" s="337"/>
      <c r="SZA34" s="338"/>
      <c r="SZB34" s="338"/>
      <c r="SZC34" s="338"/>
      <c r="SZD34" s="339"/>
      <c r="TAA34" s="340"/>
      <c r="TAC34" s="335"/>
      <c r="TAD34" s="336"/>
      <c r="TAE34" s="337"/>
      <c r="TAF34" s="338"/>
      <c r="TAG34" s="338"/>
      <c r="TAH34" s="338"/>
      <c r="TAI34" s="339"/>
      <c r="TBF34" s="340"/>
      <c r="TBH34" s="335"/>
      <c r="TBI34" s="336"/>
      <c r="TBJ34" s="337"/>
      <c r="TBK34" s="338"/>
      <c r="TBL34" s="338"/>
      <c r="TBM34" s="338"/>
      <c r="TBN34" s="339"/>
      <c r="TCK34" s="340"/>
      <c r="TCM34" s="335"/>
      <c r="TCN34" s="336"/>
      <c r="TCO34" s="337"/>
      <c r="TCP34" s="338"/>
      <c r="TCQ34" s="338"/>
      <c r="TCR34" s="338"/>
      <c r="TCS34" s="339"/>
      <c r="TDP34" s="340"/>
      <c r="TDR34" s="335"/>
      <c r="TDS34" s="336"/>
      <c r="TDT34" s="337"/>
      <c r="TDU34" s="338"/>
      <c r="TDV34" s="338"/>
      <c r="TDW34" s="338"/>
      <c r="TDX34" s="339"/>
      <c r="TEU34" s="340"/>
      <c r="TEW34" s="335"/>
      <c r="TEX34" s="336"/>
      <c r="TEY34" s="337"/>
      <c r="TEZ34" s="338"/>
      <c r="TFA34" s="338"/>
      <c r="TFB34" s="338"/>
      <c r="TFC34" s="339"/>
      <c r="TFZ34" s="340"/>
      <c r="TGB34" s="335"/>
      <c r="TGC34" s="336"/>
      <c r="TGD34" s="337"/>
      <c r="TGE34" s="338"/>
      <c r="TGF34" s="338"/>
      <c r="TGG34" s="338"/>
      <c r="TGH34" s="339"/>
      <c r="THE34" s="340"/>
      <c r="THG34" s="335"/>
      <c r="THH34" s="336"/>
      <c r="THI34" s="337"/>
      <c r="THJ34" s="338"/>
      <c r="THK34" s="338"/>
      <c r="THL34" s="338"/>
      <c r="THM34" s="339"/>
      <c r="TIJ34" s="340"/>
      <c r="TIL34" s="335"/>
      <c r="TIM34" s="336"/>
      <c r="TIN34" s="337"/>
      <c r="TIO34" s="338"/>
      <c r="TIP34" s="338"/>
      <c r="TIQ34" s="338"/>
      <c r="TIR34" s="339"/>
      <c r="TJO34" s="340"/>
      <c r="TJQ34" s="335"/>
      <c r="TJR34" s="336"/>
      <c r="TJS34" s="337"/>
      <c r="TJT34" s="338"/>
      <c r="TJU34" s="338"/>
      <c r="TJV34" s="338"/>
      <c r="TJW34" s="339"/>
      <c r="TKT34" s="340"/>
      <c r="TKV34" s="335"/>
      <c r="TKW34" s="336"/>
      <c r="TKX34" s="337"/>
      <c r="TKY34" s="338"/>
      <c r="TKZ34" s="338"/>
      <c r="TLA34" s="338"/>
      <c r="TLB34" s="339"/>
      <c r="TLY34" s="340"/>
      <c r="TMA34" s="335"/>
      <c r="TMB34" s="336"/>
      <c r="TMC34" s="337"/>
      <c r="TMD34" s="338"/>
      <c r="TME34" s="338"/>
      <c r="TMF34" s="338"/>
      <c r="TMG34" s="339"/>
      <c r="TND34" s="340"/>
      <c r="TNF34" s="335"/>
      <c r="TNG34" s="336"/>
      <c r="TNH34" s="337"/>
      <c r="TNI34" s="338"/>
      <c r="TNJ34" s="338"/>
      <c r="TNK34" s="338"/>
      <c r="TNL34" s="339"/>
      <c r="TOI34" s="340"/>
      <c r="TOK34" s="335"/>
      <c r="TOL34" s="336"/>
      <c r="TOM34" s="337"/>
      <c r="TON34" s="338"/>
      <c r="TOO34" s="338"/>
      <c r="TOP34" s="338"/>
      <c r="TOQ34" s="339"/>
      <c r="TPN34" s="340"/>
      <c r="TPP34" s="335"/>
      <c r="TPQ34" s="336"/>
      <c r="TPR34" s="337"/>
      <c r="TPS34" s="338"/>
      <c r="TPT34" s="338"/>
      <c r="TPU34" s="338"/>
      <c r="TPV34" s="339"/>
      <c r="TQS34" s="340"/>
      <c r="TQU34" s="335"/>
      <c r="TQV34" s="336"/>
      <c r="TQW34" s="337"/>
      <c r="TQX34" s="338"/>
      <c r="TQY34" s="338"/>
      <c r="TQZ34" s="338"/>
      <c r="TRA34" s="339"/>
      <c r="TRX34" s="340"/>
      <c r="TRZ34" s="335"/>
      <c r="TSA34" s="336"/>
      <c r="TSB34" s="337"/>
      <c r="TSC34" s="338"/>
      <c r="TSD34" s="338"/>
      <c r="TSE34" s="338"/>
      <c r="TSF34" s="339"/>
      <c r="TTC34" s="340"/>
      <c r="TTE34" s="335"/>
      <c r="TTF34" s="336"/>
      <c r="TTG34" s="337"/>
      <c r="TTH34" s="338"/>
      <c r="TTI34" s="338"/>
      <c r="TTJ34" s="338"/>
      <c r="TTK34" s="339"/>
      <c r="TUH34" s="340"/>
      <c r="TUJ34" s="335"/>
      <c r="TUK34" s="336"/>
      <c r="TUL34" s="337"/>
      <c r="TUM34" s="338"/>
      <c r="TUN34" s="338"/>
      <c r="TUO34" s="338"/>
      <c r="TUP34" s="339"/>
      <c r="TVM34" s="340"/>
      <c r="TVO34" s="335"/>
      <c r="TVP34" s="336"/>
      <c r="TVQ34" s="337"/>
      <c r="TVR34" s="338"/>
      <c r="TVS34" s="338"/>
      <c r="TVT34" s="338"/>
      <c r="TVU34" s="339"/>
      <c r="TWR34" s="340"/>
      <c r="TWT34" s="335"/>
      <c r="TWU34" s="336"/>
      <c r="TWV34" s="337"/>
      <c r="TWW34" s="338"/>
      <c r="TWX34" s="338"/>
      <c r="TWY34" s="338"/>
      <c r="TWZ34" s="339"/>
      <c r="TXW34" s="340"/>
      <c r="TXY34" s="335"/>
      <c r="TXZ34" s="336"/>
      <c r="TYA34" s="337"/>
      <c r="TYB34" s="338"/>
      <c r="TYC34" s="338"/>
      <c r="TYD34" s="338"/>
      <c r="TYE34" s="339"/>
      <c r="TZB34" s="340"/>
      <c r="TZD34" s="335"/>
      <c r="TZE34" s="336"/>
      <c r="TZF34" s="337"/>
      <c r="TZG34" s="338"/>
      <c r="TZH34" s="338"/>
      <c r="TZI34" s="338"/>
      <c r="TZJ34" s="339"/>
      <c r="UAG34" s="340"/>
      <c r="UAI34" s="335"/>
      <c r="UAJ34" s="336"/>
      <c r="UAK34" s="337"/>
      <c r="UAL34" s="338"/>
      <c r="UAM34" s="338"/>
      <c r="UAN34" s="338"/>
      <c r="UAO34" s="339"/>
      <c r="UBL34" s="340"/>
      <c r="UBN34" s="335"/>
      <c r="UBO34" s="336"/>
      <c r="UBP34" s="337"/>
      <c r="UBQ34" s="338"/>
      <c r="UBR34" s="338"/>
      <c r="UBS34" s="338"/>
      <c r="UBT34" s="339"/>
      <c r="UCQ34" s="340"/>
      <c r="UCS34" s="335"/>
      <c r="UCT34" s="336"/>
      <c r="UCU34" s="337"/>
      <c r="UCV34" s="338"/>
      <c r="UCW34" s="338"/>
      <c r="UCX34" s="338"/>
      <c r="UCY34" s="339"/>
      <c r="UDV34" s="340"/>
      <c r="UDX34" s="335"/>
      <c r="UDY34" s="336"/>
      <c r="UDZ34" s="337"/>
      <c r="UEA34" s="338"/>
      <c r="UEB34" s="338"/>
      <c r="UEC34" s="338"/>
      <c r="UED34" s="339"/>
      <c r="UFA34" s="340"/>
      <c r="UFC34" s="335"/>
      <c r="UFD34" s="336"/>
      <c r="UFE34" s="337"/>
      <c r="UFF34" s="338"/>
      <c r="UFG34" s="338"/>
      <c r="UFH34" s="338"/>
      <c r="UFI34" s="339"/>
      <c r="UGF34" s="340"/>
      <c r="UGH34" s="335"/>
      <c r="UGI34" s="336"/>
      <c r="UGJ34" s="337"/>
      <c r="UGK34" s="338"/>
      <c r="UGL34" s="338"/>
      <c r="UGM34" s="338"/>
      <c r="UGN34" s="339"/>
      <c r="UHK34" s="340"/>
      <c r="UHM34" s="335"/>
      <c r="UHN34" s="336"/>
      <c r="UHO34" s="337"/>
      <c r="UHP34" s="338"/>
      <c r="UHQ34" s="338"/>
      <c r="UHR34" s="338"/>
      <c r="UHS34" s="339"/>
      <c r="UIP34" s="340"/>
      <c r="UIR34" s="335"/>
      <c r="UIS34" s="336"/>
      <c r="UIT34" s="337"/>
      <c r="UIU34" s="338"/>
      <c r="UIV34" s="338"/>
      <c r="UIW34" s="338"/>
      <c r="UIX34" s="339"/>
      <c r="UJU34" s="340"/>
      <c r="UJW34" s="335"/>
      <c r="UJX34" s="336"/>
      <c r="UJY34" s="337"/>
      <c r="UJZ34" s="338"/>
      <c r="UKA34" s="338"/>
      <c r="UKB34" s="338"/>
      <c r="UKC34" s="339"/>
      <c r="UKZ34" s="340"/>
      <c r="ULB34" s="335"/>
      <c r="ULC34" s="336"/>
      <c r="ULD34" s="337"/>
      <c r="ULE34" s="338"/>
      <c r="ULF34" s="338"/>
      <c r="ULG34" s="338"/>
      <c r="ULH34" s="339"/>
      <c r="UME34" s="340"/>
      <c r="UMG34" s="335"/>
      <c r="UMH34" s="336"/>
      <c r="UMI34" s="337"/>
      <c r="UMJ34" s="338"/>
      <c r="UMK34" s="338"/>
      <c r="UML34" s="338"/>
      <c r="UMM34" s="339"/>
      <c r="UNJ34" s="340"/>
      <c r="UNL34" s="335"/>
      <c r="UNM34" s="336"/>
      <c r="UNN34" s="337"/>
      <c r="UNO34" s="338"/>
      <c r="UNP34" s="338"/>
      <c r="UNQ34" s="338"/>
      <c r="UNR34" s="339"/>
      <c r="UOO34" s="340"/>
      <c r="UOQ34" s="335"/>
      <c r="UOR34" s="336"/>
      <c r="UOS34" s="337"/>
      <c r="UOT34" s="338"/>
      <c r="UOU34" s="338"/>
      <c r="UOV34" s="338"/>
      <c r="UOW34" s="339"/>
      <c r="UPT34" s="340"/>
      <c r="UPV34" s="335"/>
      <c r="UPW34" s="336"/>
      <c r="UPX34" s="337"/>
      <c r="UPY34" s="338"/>
      <c r="UPZ34" s="338"/>
      <c r="UQA34" s="338"/>
      <c r="UQB34" s="339"/>
      <c r="UQY34" s="340"/>
      <c r="URA34" s="335"/>
      <c r="URB34" s="336"/>
      <c r="URC34" s="337"/>
      <c r="URD34" s="338"/>
      <c r="URE34" s="338"/>
      <c r="URF34" s="338"/>
      <c r="URG34" s="339"/>
      <c r="USD34" s="340"/>
      <c r="USF34" s="335"/>
      <c r="USG34" s="336"/>
      <c r="USH34" s="337"/>
      <c r="USI34" s="338"/>
      <c r="USJ34" s="338"/>
      <c r="USK34" s="338"/>
      <c r="USL34" s="339"/>
      <c r="UTI34" s="340"/>
      <c r="UTK34" s="335"/>
      <c r="UTL34" s="336"/>
      <c r="UTM34" s="337"/>
      <c r="UTN34" s="338"/>
      <c r="UTO34" s="338"/>
      <c r="UTP34" s="338"/>
      <c r="UTQ34" s="339"/>
      <c r="UUN34" s="340"/>
      <c r="UUP34" s="335"/>
      <c r="UUQ34" s="336"/>
      <c r="UUR34" s="337"/>
      <c r="UUS34" s="338"/>
      <c r="UUT34" s="338"/>
      <c r="UUU34" s="338"/>
      <c r="UUV34" s="339"/>
      <c r="UVS34" s="340"/>
      <c r="UVU34" s="335"/>
      <c r="UVV34" s="336"/>
      <c r="UVW34" s="337"/>
      <c r="UVX34" s="338"/>
      <c r="UVY34" s="338"/>
      <c r="UVZ34" s="338"/>
      <c r="UWA34" s="339"/>
      <c r="UWX34" s="340"/>
      <c r="UWZ34" s="335"/>
      <c r="UXA34" s="336"/>
      <c r="UXB34" s="337"/>
      <c r="UXC34" s="338"/>
      <c r="UXD34" s="338"/>
      <c r="UXE34" s="338"/>
      <c r="UXF34" s="339"/>
      <c r="UYC34" s="340"/>
      <c r="UYE34" s="335"/>
      <c r="UYF34" s="336"/>
      <c r="UYG34" s="337"/>
      <c r="UYH34" s="338"/>
      <c r="UYI34" s="338"/>
      <c r="UYJ34" s="338"/>
      <c r="UYK34" s="339"/>
      <c r="UZH34" s="340"/>
      <c r="UZJ34" s="335"/>
      <c r="UZK34" s="336"/>
      <c r="UZL34" s="337"/>
      <c r="UZM34" s="338"/>
      <c r="UZN34" s="338"/>
      <c r="UZO34" s="338"/>
      <c r="UZP34" s="339"/>
      <c r="VAM34" s="340"/>
      <c r="VAO34" s="335"/>
      <c r="VAP34" s="336"/>
      <c r="VAQ34" s="337"/>
      <c r="VAR34" s="338"/>
      <c r="VAS34" s="338"/>
      <c r="VAT34" s="338"/>
      <c r="VAU34" s="339"/>
      <c r="VBR34" s="340"/>
      <c r="VBT34" s="335"/>
      <c r="VBU34" s="336"/>
      <c r="VBV34" s="337"/>
      <c r="VBW34" s="338"/>
      <c r="VBX34" s="338"/>
      <c r="VBY34" s="338"/>
      <c r="VBZ34" s="339"/>
      <c r="VCW34" s="340"/>
      <c r="VCY34" s="335"/>
      <c r="VCZ34" s="336"/>
      <c r="VDA34" s="337"/>
      <c r="VDB34" s="338"/>
      <c r="VDC34" s="338"/>
      <c r="VDD34" s="338"/>
      <c r="VDE34" s="339"/>
      <c r="VEB34" s="340"/>
      <c r="VED34" s="335"/>
      <c r="VEE34" s="336"/>
      <c r="VEF34" s="337"/>
      <c r="VEG34" s="338"/>
      <c r="VEH34" s="338"/>
      <c r="VEI34" s="338"/>
      <c r="VEJ34" s="339"/>
      <c r="VFG34" s="340"/>
      <c r="VFI34" s="335"/>
      <c r="VFJ34" s="336"/>
      <c r="VFK34" s="337"/>
      <c r="VFL34" s="338"/>
      <c r="VFM34" s="338"/>
      <c r="VFN34" s="338"/>
      <c r="VFO34" s="339"/>
      <c r="VGL34" s="340"/>
      <c r="VGN34" s="335"/>
      <c r="VGO34" s="336"/>
      <c r="VGP34" s="337"/>
      <c r="VGQ34" s="338"/>
      <c r="VGR34" s="338"/>
      <c r="VGS34" s="338"/>
      <c r="VGT34" s="339"/>
      <c r="VHQ34" s="340"/>
      <c r="VHS34" s="335"/>
      <c r="VHT34" s="336"/>
      <c r="VHU34" s="337"/>
      <c r="VHV34" s="338"/>
      <c r="VHW34" s="338"/>
      <c r="VHX34" s="338"/>
      <c r="VHY34" s="339"/>
      <c r="VIV34" s="340"/>
      <c r="VIX34" s="335"/>
      <c r="VIY34" s="336"/>
      <c r="VIZ34" s="337"/>
      <c r="VJA34" s="338"/>
      <c r="VJB34" s="338"/>
      <c r="VJC34" s="338"/>
      <c r="VJD34" s="339"/>
      <c r="VKA34" s="340"/>
      <c r="VKC34" s="335"/>
      <c r="VKD34" s="336"/>
      <c r="VKE34" s="337"/>
      <c r="VKF34" s="338"/>
      <c r="VKG34" s="338"/>
      <c r="VKH34" s="338"/>
      <c r="VKI34" s="339"/>
      <c r="VLF34" s="340"/>
      <c r="VLH34" s="335"/>
      <c r="VLI34" s="336"/>
      <c r="VLJ34" s="337"/>
      <c r="VLK34" s="338"/>
      <c r="VLL34" s="338"/>
      <c r="VLM34" s="338"/>
      <c r="VLN34" s="339"/>
      <c r="VMK34" s="340"/>
      <c r="VMM34" s="335"/>
      <c r="VMN34" s="336"/>
      <c r="VMO34" s="337"/>
      <c r="VMP34" s="338"/>
      <c r="VMQ34" s="338"/>
      <c r="VMR34" s="338"/>
      <c r="VMS34" s="339"/>
      <c r="VNP34" s="340"/>
      <c r="VNR34" s="335"/>
      <c r="VNS34" s="336"/>
      <c r="VNT34" s="337"/>
      <c r="VNU34" s="338"/>
      <c r="VNV34" s="338"/>
      <c r="VNW34" s="338"/>
      <c r="VNX34" s="339"/>
      <c r="VOU34" s="340"/>
      <c r="VOW34" s="335"/>
      <c r="VOX34" s="336"/>
      <c r="VOY34" s="337"/>
      <c r="VOZ34" s="338"/>
      <c r="VPA34" s="338"/>
      <c r="VPB34" s="338"/>
      <c r="VPC34" s="339"/>
      <c r="VPZ34" s="340"/>
      <c r="VQB34" s="335"/>
      <c r="VQC34" s="336"/>
      <c r="VQD34" s="337"/>
      <c r="VQE34" s="338"/>
      <c r="VQF34" s="338"/>
      <c r="VQG34" s="338"/>
      <c r="VQH34" s="339"/>
      <c r="VRE34" s="340"/>
      <c r="VRG34" s="335"/>
      <c r="VRH34" s="336"/>
      <c r="VRI34" s="337"/>
      <c r="VRJ34" s="338"/>
      <c r="VRK34" s="338"/>
      <c r="VRL34" s="338"/>
      <c r="VRM34" s="339"/>
      <c r="VSJ34" s="340"/>
      <c r="VSL34" s="335"/>
      <c r="VSM34" s="336"/>
      <c r="VSN34" s="337"/>
      <c r="VSO34" s="338"/>
      <c r="VSP34" s="338"/>
      <c r="VSQ34" s="338"/>
      <c r="VSR34" s="339"/>
      <c r="VTO34" s="340"/>
      <c r="VTQ34" s="335"/>
      <c r="VTR34" s="336"/>
      <c r="VTS34" s="337"/>
      <c r="VTT34" s="338"/>
      <c r="VTU34" s="338"/>
      <c r="VTV34" s="338"/>
      <c r="VTW34" s="339"/>
      <c r="VUT34" s="340"/>
      <c r="VUV34" s="335"/>
      <c r="VUW34" s="336"/>
      <c r="VUX34" s="337"/>
      <c r="VUY34" s="338"/>
      <c r="VUZ34" s="338"/>
      <c r="VVA34" s="338"/>
      <c r="VVB34" s="339"/>
      <c r="VVY34" s="340"/>
      <c r="VWA34" s="335"/>
      <c r="VWB34" s="336"/>
      <c r="VWC34" s="337"/>
      <c r="VWD34" s="338"/>
      <c r="VWE34" s="338"/>
      <c r="VWF34" s="338"/>
      <c r="VWG34" s="339"/>
      <c r="VXD34" s="340"/>
      <c r="VXF34" s="335"/>
      <c r="VXG34" s="336"/>
      <c r="VXH34" s="337"/>
      <c r="VXI34" s="338"/>
      <c r="VXJ34" s="338"/>
      <c r="VXK34" s="338"/>
      <c r="VXL34" s="339"/>
      <c r="VYI34" s="340"/>
      <c r="VYK34" s="335"/>
      <c r="VYL34" s="336"/>
      <c r="VYM34" s="337"/>
      <c r="VYN34" s="338"/>
      <c r="VYO34" s="338"/>
      <c r="VYP34" s="338"/>
      <c r="VYQ34" s="339"/>
      <c r="VZN34" s="340"/>
      <c r="VZP34" s="335"/>
      <c r="VZQ34" s="336"/>
      <c r="VZR34" s="337"/>
      <c r="VZS34" s="338"/>
      <c r="VZT34" s="338"/>
      <c r="VZU34" s="338"/>
      <c r="VZV34" s="339"/>
      <c r="WAS34" s="340"/>
      <c r="WAU34" s="335"/>
      <c r="WAV34" s="336"/>
      <c r="WAW34" s="337"/>
      <c r="WAX34" s="338"/>
      <c r="WAY34" s="338"/>
      <c r="WAZ34" s="338"/>
      <c r="WBA34" s="339"/>
      <c r="WBX34" s="340"/>
      <c r="WBZ34" s="335"/>
      <c r="WCA34" s="336"/>
      <c r="WCB34" s="337"/>
      <c r="WCC34" s="338"/>
      <c r="WCD34" s="338"/>
      <c r="WCE34" s="338"/>
      <c r="WCF34" s="339"/>
      <c r="WDC34" s="340"/>
      <c r="WDE34" s="335"/>
      <c r="WDF34" s="336"/>
      <c r="WDG34" s="337"/>
      <c r="WDH34" s="338"/>
      <c r="WDI34" s="338"/>
      <c r="WDJ34" s="338"/>
      <c r="WDK34" s="339"/>
      <c r="WEH34" s="340"/>
      <c r="WEJ34" s="335"/>
      <c r="WEK34" s="336"/>
      <c r="WEL34" s="337"/>
      <c r="WEM34" s="338"/>
      <c r="WEN34" s="338"/>
      <c r="WEO34" s="338"/>
      <c r="WEP34" s="339"/>
      <c r="WFM34" s="340"/>
      <c r="WFO34" s="335"/>
      <c r="WFP34" s="336"/>
      <c r="WFQ34" s="337"/>
      <c r="WFR34" s="338"/>
      <c r="WFS34" s="338"/>
      <c r="WFT34" s="338"/>
      <c r="WFU34" s="339"/>
      <c r="WGR34" s="340"/>
      <c r="WGT34" s="335"/>
      <c r="WGU34" s="336"/>
      <c r="WGV34" s="337"/>
      <c r="WGW34" s="338"/>
      <c r="WGX34" s="338"/>
      <c r="WGY34" s="338"/>
      <c r="WGZ34" s="339"/>
      <c r="WHW34" s="340"/>
      <c r="WHY34" s="335"/>
      <c r="WHZ34" s="336"/>
      <c r="WIA34" s="337"/>
      <c r="WIB34" s="338"/>
      <c r="WIC34" s="338"/>
      <c r="WID34" s="338"/>
      <c r="WIE34" s="339"/>
      <c r="WJB34" s="340"/>
      <c r="WJD34" s="335"/>
      <c r="WJE34" s="336"/>
      <c r="WJF34" s="337"/>
      <c r="WJG34" s="338"/>
      <c r="WJH34" s="338"/>
      <c r="WJI34" s="338"/>
      <c r="WJJ34" s="339"/>
      <c r="WKG34" s="340"/>
      <c r="WKI34" s="335"/>
      <c r="WKJ34" s="336"/>
      <c r="WKK34" s="337"/>
      <c r="WKL34" s="338"/>
      <c r="WKM34" s="338"/>
      <c r="WKN34" s="338"/>
      <c r="WKO34" s="339"/>
      <c r="WLL34" s="340"/>
      <c r="WLN34" s="335"/>
      <c r="WLO34" s="336"/>
      <c r="WLP34" s="337"/>
      <c r="WLQ34" s="338"/>
      <c r="WLR34" s="338"/>
      <c r="WLS34" s="338"/>
      <c r="WLT34" s="339"/>
      <c r="WMQ34" s="340"/>
      <c r="WMS34" s="335"/>
      <c r="WMT34" s="336"/>
      <c r="WMU34" s="337"/>
      <c r="WMV34" s="338"/>
      <c r="WMW34" s="338"/>
      <c r="WMX34" s="338"/>
      <c r="WMY34" s="339"/>
      <c r="WNV34" s="340"/>
      <c r="WNX34" s="335"/>
      <c r="WNY34" s="336"/>
      <c r="WNZ34" s="337"/>
      <c r="WOA34" s="338"/>
      <c r="WOB34" s="338"/>
      <c r="WOC34" s="338"/>
      <c r="WOD34" s="339"/>
      <c r="WPA34" s="340"/>
      <c r="WPC34" s="335"/>
      <c r="WPD34" s="336"/>
      <c r="WPE34" s="337"/>
      <c r="WPF34" s="338"/>
      <c r="WPG34" s="338"/>
      <c r="WPH34" s="338"/>
      <c r="WPI34" s="339"/>
      <c r="WQF34" s="340"/>
      <c r="WQH34" s="335"/>
      <c r="WQI34" s="336"/>
      <c r="WQJ34" s="337"/>
      <c r="WQK34" s="338"/>
      <c r="WQL34" s="338"/>
      <c r="WQM34" s="338"/>
      <c r="WQN34" s="339"/>
      <c r="WRK34" s="340"/>
      <c r="WRM34" s="335"/>
      <c r="WRN34" s="336"/>
      <c r="WRO34" s="337"/>
      <c r="WRP34" s="338"/>
      <c r="WRQ34" s="338"/>
      <c r="WRR34" s="338"/>
      <c r="WRS34" s="339"/>
      <c r="WSP34" s="340"/>
      <c r="WSR34" s="335"/>
      <c r="WSS34" s="336"/>
      <c r="WST34" s="337"/>
      <c r="WSU34" s="338"/>
      <c r="WSV34" s="338"/>
      <c r="WSW34" s="338"/>
      <c r="WSX34" s="339"/>
      <c r="WTU34" s="340"/>
      <c r="WTW34" s="335"/>
      <c r="WTX34" s="336"/>
      <c r="WTY34" s="337"/>
      <c r="WTZ34" s="338"/>
      <c r="WUA34" s="338"/>
      <c r="WUB34" s="338"/>
      <c r="WUC34" s="339"/>
      <c r="WUZ34" s="340"/>
      <c r="WVB34" s="335"/>
      <c r="WVC34" s="336"/>
      <c r="WVD34" s="337"/>
      <c r="WVE34" s="338"/>
      <c r="WVF34" s="338"/>
      <c r="WVG34" s="338"/>
      <c r="WVH34" s="339"/>
      <c r="WWE34" s="340"/>
      <c r="WWG34" s="335"/>
      <c r="WWH34" s="336"/>
      <c r="WWI34" s="337"/>
      <c r="WWJ34" s="338"/>
      <c r="WWK34" s="338"/>
      <c r="WWL34" s="338"/>
      <c r="WWM34" s="339"/>
      <c r="WXJ34" s="340"/>
      <c r="WXL34" s="335"/>
      <c r="WXM34" s="336"/>
      <c r="WXN34" s="337"/>
      <c r="WXO34" s="338"/>
      <c r="WXP34" s="338"/>
      <c r="WXQ34" s="338"/>
      <c r="WXR34" s="339"/>
      <c r="WYO34" s="340"/>
      <c r="WYQ34" s="335"/>
      <c r="WYR34" s="336"/>
      <c r="WYS34" s="337"/>
      <c r="WYT34" s="338"/>
      <c r="WYU34" s="338"/>
      <c r="WYV34" s="338"/>
      <c r="WYW34" s="339"/>
      <c r="WZT34" s="340"/>
      <c r="WZV34" s="335"/>
      <c r="WZW34" s="336"/>
      <c r="WZX34" s="337"/>
      <c r="WZY34" s="338"/>
      <c r="WZZ34" s="338"/>
      <c r="XAA34" s="338"/>
      <c r="XAB34" s="339"/>
      <c r="XAY34" s="340"/>
      <c r="XBA34" s="335"/>
      <c r="XBB34" s="336"/>
      <c r="XBC34" s="337"/>
      <c r="XBD34" s="338"/>
      <c r="XBE34" s="338"/>
      <c r="XBF34" s="338"/>
      <c r="XBG34" s="339"/>
      <c r="XCD34" s="340"/>
      <c r="XCF34" s="335"/>
      <c r="XCG34" s="336"/>
      <c r="XCH34" s="337"/>
      <c r="XCI34" s="338"/>
      <c r="XCJ34" s="338"/>
      <c r="XCK34" s="338"/>
      <c r="XCL34" s="339"/>
      <c r="XDI34" s="340"/>
      <c r="XDK34" s="335"/>
      <c r="XDL34" s="336"/>
      <c r="XDM34" s="337"/>
      <c r="XDN34" s="338"/>
      <c r="XDO34" s="338"/>
      <c r="XDP34" s="338"/>
      <c r="XDQ34" s="339"/>
      <c r="XEN34" s="340"/>
      <c r="XEP34" s="335"/>
      <c r="XEQ34" s="336"/>
      <c r="XER34" s="337"/>
      <c r="XES34" s="338"/>
      <c r="XET34" s="338"/>
      <c r="XEU34" s="338"/>
      <c r="XEV34" s="339"/>
    </row>
    <row r="35" spans="1:8192 8215:9215 9238:10238 10261:11261 11284:12284 12307:13307 13330:14330 14353:15353 15376:16376" x14ac:dyDescent="0.25">
      <c r="A35" s="88">
        <v>45643</v>
      </c>
      <c r="B35" s="288" t="s">
        <v>164</v>
      </c>
      <c r="C35" s="480">
        <v>101402</v>
      </c>
      <c r="D35" s="502">
        <v>142934145</v>
      </c>
      <c r="E35" s="503">
        <v>666.76</v>
      </c>
      <c r="F35" s="504"/>
      <c r="G35" s="544"/>
      <c r="H35" s="542"/>
      <c r="I35" s="517"/>
      <c r="J35" s="517"/>
      <c r="K35" s="543"/>
      <c r="L35" s="519">
        <v>666.76</v>
      </c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17">
        <v>666.76</v>
      </c>
      <c r="AA35" s="517"/>
      <c r="AB35" s="517"/>
      <c r="AC35" s="518"/>
      <c r="AD35" s="130"/>
      <c r="AE35" s="97"/>
      <c r="AF35" s="80">
        <f t="shared" si="0"/>
        <v>0</v>
      </c>
      <c r="AH35" s="129"/>
    </row>
    <row r="36" spans="1:8192 8215:9215 9238:10238 10261:11261 11284:12284 12307:13307 13330:14330 14353:15353 15376:16376" x14ac:dyDescent="0.25">
      <c r="A36" s="88">
        <v>45657</v>
      </c>
      <c r="B36" s="42" t="s">
        <v>132</v>
      </c>
      <c r="C36" s="480" t="s">
        <v>22</v>
      </c>
      <c r="D36" s="502" t="s">
        <v>151</v>
      </c>
      <c r="E36" s="503">
        <v>6</v>
      </c>
      <c r="F36" s="504"/>
      <c r="G36" s="544"/>
      <c r="H36" s="542"/>
      <c r="I36" s="517"/>
      <c r="J36" s="517"/>
      <c r="K36" s="543"/>
      <c r="L36" s="519">
        <v>6</v>
      </c>
      <c r="M36" s="520"/>
      <c r="N36" s="520"/>
      <c r="O36" s="520"/>
      <c r="P36" s="520"/>
      <c r="Q36" s="520">
        <v>6</v>
      </c>
      <c r="R36" s="520"/>
      <c r="S36" s="520"/>
      <c r="T36" s="520"/>
      <c r="U36" s="520"/>
      <c r="V36" s="520"/>
      <c r="W36" s="520"/>
      <c r="X36" s="520"/>
      <c r="Y36" s="520"/>
      <c r="Z36" s="517"/>
      <c r="AA36" s="517"/>
      <c r="AB36" s="517"/>
      <c r="AC36" s="518"/>
      <c r="AD36" s="130"/>
      <c r="AE36" s="97"/>
      <c r="AF36" s="80">
        <f t="shared" si="0"/>
        <v>0</v>
      </c>
      <c r="AH36" s="129"/>
    </row>
    <row r="37" spans="1:8192 8215:9215 9238:10238 10261:11261 11284:12284 12307:13307 13330:14330 14353:15353 15376:16376" x14ac:dyDescent="0.25">
      <c r="A37" s="88"/>
      <c r="B37" s="42"/>
      <c r="C37" s="480"/>
      <c r="D37" s="502"/>
      <c r="E37" s="503"/>
      <c r="F37" s="504"/>
      <c r="G37" s="544"/>
      <c r="H37" s="542"/>
      <c r="I37" s="517"/>
      <c r="J37" s="517"/>
      <c r="K37" s="543"/>
      <c r="L37" s="519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17"/>
      <c r="AA37" s="517"/>
      <c r="AB37" s="517"/>
      <c r="AC37" s="518"/>
      <c r="AD37" s="130"/>
      <c r="AE37" s="97"/>
      <c r="AF37" s="80">
        <f t="shared" si="0"/>
        <v>0</v>
      </c>
      <c r="AH37" s="129"/>
    </row>
    <row r="38" spans="1:8192 8215:9215 9238:10238 10261:11261 11284:12284 12307:13307 13330:14330 14353:15353 15376:16376" x14ac:dyDescent="0.25">
      <c r="A38" s="165">
        <v>43465</v>
      </c>
      <c r="B38" s="143" t="s">
        <v>165</v>
      </c>
      <c r="C38" s="166"/>
      <c r="D38" s="145"/>
      <c r="E38" s="228"/>
      <c r="F38" s="175"/>
      <c r="G38" s="527">
        <f t="shared" ref="G38:AD38" si="5">SUM(G5:G37)</f>
        <v>89348.57</v>
      </c>
      <c r="H38" s="545">
        <f t="shared" si="5"/>
        <v>22780</v>
      </c>
      <c r="I38" s="546">
        <f t="shared" si="5"/>
        <v>0</v>
      </c>
      <c r="J38" s="546">
        <f t="shared" si="5"/>
        <v>4257.5</v>
      </c>
      <c r="K38" s="547">
        <f t="shared" si="5"/>
        <v>3894.18</v>
      </c>
      <c r="L38" s="527">
        <f t="shared" si="5"/>
        <v>50658.37000000001</v>
      </c>
      <c r="M38" s="545">
        <f t="shared" si="5"/>
        <v>14991.199999999997</v>
      </c>
      <c r="N38" s="546">
        <f t="shared" si="5"/>
        <v>4596.9500000000007</v>
      </c>
      <c r="O38" s="546">
        <f t="shared" si="5"/>
        <v>13210.04</v>
      </c>
      <c r="P38" s="546">
        <f t="shared" si="5"/>
        <v>3100</v>
      </c>
      <c r="Q38" s="546">
        <f t="shared" si="5"/>
        <v>53.4</v>
      </c>
      <c r="R38" s="546">
        <f t="shared" si="5"/>
        <v>635</v>
      </c>
      <c r="S38" s="546">
        <f t="shared" si="5"/>
        <v>790.17</v>
      </c>
      <c r="T38" s="546">
        <f t="shared" si="5"/>
        <v>470.49</v>
      </c>
      <c r="U38" s="546">
        <f t="shared" si="5"/>
        <v>235</v>
      </c>
      <c r="V38" s="546">
        <f t="shared" si="5"/>
        <v>1819.5</v>
      </c>
      <c r="W38" s="546">
        <f t="shared" si="5"/>
        <v>3000</v>
      </c>
      <c r="X38" s="546">
        <f t="shared" si="5"/>
        <v>0</v>
      </c>
      <c r="Y38" s="546">
        <f t="shared" si="5"/>
        <v>0</v>
      </c>
      <c r="Z38" s="546">
        <f t="shared" si="5"/>
        <v>1567.21</v>
      </c>
      <c r="AA38" s="546">
        <f t="shared" si="5"/>
        <v>219.89999999999998</v>
      </c>
      <c r="AB38" s="546">
        <f t="shared" si="5"/>
        <v>2000</v>
      </c>
      <c r="AC38" s="546">
        <f t="shared" si="5"/>
        <v>0</v>
      </c>
      <c r="AD38" s="150">
        <f t="shared" si="5"/>
        <v>3969.51</v>
      </c>
      <c r="AE38" s="150"/>
      <c r="AF38" s="80">
        <f t="shared" si="0"/>
        <v>0</v>
      </c>
      <c r="AH38" s="51">
        <f>SUM(AH5:AH37)</f>
        <v>6350.5</v>
      </c>
    </row>
    <row r="39" spans="1:8192 8215:9215 9238:10238 10261:11261 11284:12284 12307:13307 13330:14330 14353:15353 15376:16376" ht="15.75" thickBot="1" x14ac:dyDescent="0.3">
      <c r="A39" s="168">
        <v>43465</v>
      </c>
      <c r="B39" s="169" t="s">
        <v>166</v>
      </c>
      <c r="C39" s="170"/>
      <c r="D39" s="171"/>
      <c r="E39" s="229"/>
      <c r="F39" s="174"/>
      <c r="G39" s="548">
        <f t="shared" ref="G39:AD39" si="6">SUM(G6:G37)</f>
        <v>23980.35</v>
      </c>
      <c r="H39" s="548">
        <f t="shared" si="6"/>
        <v>22780</v>
      </c>
      <c r="I39" s="548">
        <f t="shared" si="6"/>
        <v>0</v>
      </c>
      <c r="J39" s="548">
        <f t="shared" si="6"/>
        <v>390</v>
      </c>
      <c r="K39" s="548">
        <f t="shared" si="6"/>
        <v>810.35</v>
      </c>
      <c r="L39" s="528">
        <f t="shared" si="6"/>
        <v>17641.489999999998</v>
      </c>
      <c r="M39" s="549">
        <f t="shared" si="6"/>
        <v>5372.9900000000007</v>
      </c>
      <c r="N39" s="549">
        <f t="shared" si="6"/>
        <v>204.5</v>
      </c>
      <c r="O39" s="549">
        <f t="shared" si="6"/>
        <v>4817.43</v>
      </c>
      <c r="P39" s="549">
        <f t="shared" si="6"/>
        <v>2770</v>
      </c>
      <c r="Q39" s="549">
        <f t="shared" si="6"/>
        <v>17.399999999999999</v>
      </c>
      <c r="R39" s="549">
        <f t="shared" si="6"/>
        <v>0</v>
      </c>
      <c r="S39" s="549">
        <f t="shared" si="6"/>
        <v>0</v>
      </c>
      <c r="T39" s="549">
        <f t="shared" si="6"/>
        <v>0</v>
      </c>
      <c r="U39" s="549">
        <f t="shared" si="6"/>
        <v>0</v>
      </c>
      <c r="V39" s="549">
        <f t="shared" si="6"/>
        <v>1819.5</v>
      </c>
      <c r="W39" s="549">
        <f t="shared" si="6"/>
        <v>0</v>
      </c>
      <c r="X39" s="549">
        <f t="shared" si="6"/>
        <v>0</v>
      </c>
      <c r="Y39" s="549">
        <f t="shared" si="6"/>
        <v>0</v>
      </c>
      <c r="Z39" s="549">
        <f t="shared" si="6"/>
        <v>666.76</v>
      </c>
      <c r="AA39" s="549">
        <f t="shared" si="6"/>
        <v>92.1</v>
      </c>
      <c r="AB39" s="549">
        <f t="shared" si="6"/>
        <v>0</v>
      </c>
      <c r="AC39" s="549">
        <f t="shared" si="6"/>
        <v>0</v>
      </c>
      <c r="AD39" s="164">
        <f t="shared" si="6"/>
        <v>1880.8100000000002</v>
      </c>
      <c r="AE39" s="164"/>
      <c r="AF39" s="80">
        <f>+L39-SUM(M39:AD39)</f>
        <v>0</v>
      </c>
      <c r="AH39" s="155">
        <f>SUM(AH6:AH37)</f>
        <v>2608.5</v>
      </c>
    </row>
    <row r="40" spans="1:8192 8215:9215 9238:10238 10261:11261 11284:12284 12307:13307 13330:14330 14353:15353 15376:16376" ht="15.75" thickBot="1" x14ac:dyDescent="0.3">
      <c r="A40" s="104">
        <v>43465</v>
      </c>
      <c r="B40" s="61" t="s">
        <v>93</v>
      </c>
      <c r="C40" s="105"/>
      <c r="D40" s="63" t="s">
        <v>94</v>
      </c>
      <c r="E40" s="230"/>
      <c r="F40" s="122"/>
      <c r="G40" s="550">
        <f t="shared" ref="G40:AD40" si="7">+G5+G39</f>
        <v>89348.57</v>
      </c>
      <c r="H40" s="551">
        <f t="shared" si="7"/>
        <v>22780</v>
      </c>
      <c r="I40" s="552">
        <f t="shared" si="7"/>
        <v>0</v>
      </c>
      <c r="J40" s="552">
        <f t="shared" si="7"/>
        <v>4257.5</v>
      </c>
      <c r="K40" s="553">
        <f t="shared" si="7"/>
        <v>3894.18</v>
      </c>
      <c r="L40" s="554">
        <f t="shared" si="7"/>
        <v>50658.37</v>
      </c>
      <c r="M40" s="553">
        <f t="shared" si="7"/>
        <v>14991.2</v>
      </c>
      <c r="N40" s="553">
        <f t="shared" si="7"/>
        <v>4596.9500000000007</v>
      </c>
      <c r="O40" s="553">
        <f t="shared" si="7"/>
        <v>13210.04</v>
      </c>
      <c r="P40" s="553">
        <f t="shared" si="7"/>
        <v>3100</v>
      </c>
      <c r="Q40" s="553">
        <f t="shared" si="7"/>
        <v>53.4</v>
      </c>
      <c r="R40" s="553">
        <f t="shared" si="7"/>
        <v>635</v>
      </c>
      <c r="S40" s="553">
        <f t="shared" si="7"/>
        <v>790.17</v>
      </c>
      <c r="T40" s="553">
        <f t="shared" si="7"/>
        <v>470.49</v>
      </c>
      <c r="U40" s="553">
        <f t="shared" si="7"/>
        <v>235</v>
      </c>
      <c r="V40" s="553">
        <f t="shared" si="7"/>
        <v>1819.5</v>
      </c>
      <c r="W40" s="553">
        <f t="shared" si="7"/>
        <v>3000</v>
      </c>
      <c r="X40" s="553">
        <f t="shared" si="7"/>
        <v>0</v>
      </c>
      <c r="Y40" s="553">
        <f t="shared" si="7"/>
        <v>0</v>
      </c>
      <c r="Z40" s="552">
        <f t="shared" si="7"/>
        <v>1567.21</v>
      </c>
      <c r="AA40" s="552">
        <f t="shared" si="7"/>
        <v>219.89999999999998</v>
      </c>
      <c r="AB40" s="552">
        <f t="shared" si="7"/>
        <v>2000</v>
      </c>
      <c r="AC40" s="555">
        <f t="shared" si="7"/>
        <v>0</v>
      </c>
      <c r="AD40" s="70">
        <f t="shared" si="7"/>
        <v>3969.51</v>
      </c>
      <c r="AE40" s="70"/>
      <c r="AF40" s="80">
        <f t="shared" si="0"/>
        <v>0</v>
      </c>
      <c r="AH40" s="68">
        <f>+AH39+AH5</f>
        <v>6350.5</v>
      </c>
    </row>
    <row r="41" spans="1:8192 8215:9215 9238:10238 10261:11261 11284:12284 12307:13307 13330:14330 14353:15353 15376:16376" ht="15.75" thickTop="1" x14ac:dyDescent="0.25">
      <c r="A41" s="107"/>
      <c r="B41" s="108"/>
      <c r="C41" s="109"/>
      <c r="D41" s="110"/>
      <c r="E41" s="231"/>
      <c r="F41" s="123"/>
      <c r="G41" s="556">
        <f t="shared" ref="G41:K41" si="8">+G38-G40</f>
        <v>0</v>
      </c>
      <c r="H41" s="556">
        <f t="shared" si="8"/>
        <v>0</v>
      </c>
      <c r="I41" s="556">
        <f t="shared" si="8"/>
        <v>0</v>
      </c>
      <c r="J41" s="556">
        <f t="shared" si="8"/>
        <v>0</v>
      </c>
      <c r="K41" s="556">
        <f t="shared" si="8"/>
        <v>0</v>
      </c>
      <c r="L41" s="556">
        <f>+L38-L40</f>
        <v>0</v>
      </c>
      <c r="M41" s="556">
        <f t="shared" ref="M41:AD41" si="9">+M38-M40</f>
        <v>0</v>
      </c>
      <c r="N41" s="556">
        <f t="shared" si="9"/>
        <v>0</v>
      </c>
      <c r="O41" s="556">
        <f t="shared" si="9"/>
        <v>0</v>
      </c>
      <c r="P41" s="556">
        <f t="shared" si="9"/>
        <v>0</v>
      </c>
      <c r="Q41" s="556">
        <f t="shared" si="9"/>
        <v>0</v>
      </c>
      <c r="R41" s="556">
        <f t="shared" si="9"/>
        <v>0</v>
      </c>
      <c r="S41" s="556">
        <f t="shared" si="9"/>
        <v>0</v>
      </c>
      <c r="T41" s="556"/>
      <c r="U41" s="556"/>
      <c r="V41" s="556">
        <f t="shared" si="9"/>
        <v>0</v>
      </c>
      <c r="W41" s="556">
        <f t="shared" si="9"/>
        <v>0</v>
      </c>
      <c r="X41" s="556">
        <f t="shared" si="9"/>
        <v>0</v>
      </c>
      <c r="Y41" s="556">
        <f t="shared" si="9"/>
        <v>0</v>
      </c>
      <c r="Z41" s="556">
        <f t="shared" si="9"/>
        <v>0</v>
      </c>
      <c r="AA41" s="556">
        <f t="shared" si="9"/>
        <v>0</v>
      </c>
      <c r="AB41" s="556">
        <f t="shared" si="9"/>
        <v>0</v>
      </c>
      <c r="AC41" s="556">
        <f t="shared" si="9"/>
        <v>0</v>
      </c>
      <c r="AD41" s="108">
        <f t="shared" si="9"/>
        <v>0</v>
      </c>
      <c r="AE41" s="5"/>
      <c r="AF41" s="80">
        <f t="shared" si="0"/>
        <v>0</v>
      </c>
    </row>
    <row r="42" spans="1:8192 8215:9215 9238:10238 10261:11261 11284:12284 12307:13307 13330:14330 14353:15353 15376:16376" s="111" customFormat="1" x14ac:dyDescent="0.25">
      <c r="A42" s="487"/>
      <c r="C42" s="112"/>
      <c r="D42" s="113"/>
      <c r="E42" s="232"/>
      <c r="G42" s="556" t="s">
        <v>135</v>
      </c>
      <c r="H42" s="557">
        <f>SUM(H40:K40)</f>
        <v>30931.68</v>
      </c>
      <c r="I42" s="558"/>
      <c r="J42" s="558"/>
      <c r="K42" s="558"/>
      <c r="L42" s="556" t="s">
        <v>167</v>
      </c>
      <c r="M42" s="559">
        <f>SUM(M40:AD40)</f>
        <v>50658.37</v>
      </c>
      <c r="N42" s="558">
        <f>+L40-M42</f>
        <v>0</v>
      </c>
      <c r="O42" s="558"/>
      <c r="P42" s="558"/>
      <c r="Q42" s="558"/>
      <c r="R42" s="558"/>
      <c r="S42" s="558"/>
      <c r="T42" s="558"/>
      <c r="U42" s="558"/>
      <c r="V42" s="558"/>
      <c r="W42" s="558"/>
      <c r="X42" s="558"/>
      <c r="Y42" s="558"/>
      <c r="Z42" s="558"/>
      <c r="AA42" s="558"/>
      <c r="AB42" s="558"/>
      <c r="AC42" s="558"/>
      <c r="AD42" s="114"/>
      <c r="AE42" s="83"/>
    </row>
    <row r="43" spans="1:8192 8215:9215 9238:10238 10261:11261 11284:12284 12307:13307 13330:14330 14353:15353 15376:16376" x14ac:dyDescent="0.25">
      <c r="A43" s="107"/>
      <c r="B43" s="115"/>
      <c r="C43" s="116"/>
      <c r="D43" s="110"/>
      <c r="E43" s="231"/>
      <c r="F43" s="123"/>
      <c r="G43" s="556"/>
      <c r="H43" s="560"/>
      <c r="I43" s="560"/>
      <c r="J43" s="560"/>
      <c r="K43" s="560"/>
      <c r="L43" s="556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</row>
    <row r="44" spans="1:8192 8215:9215 9238:10238 10261:11261 11284:12284 12307:13307 13330:14330 14353:15353 15376:16376" x14ac:dyDescent="0.25">
      <c r="A44" s="107"/>
      <c r="C44" s="116"/>
      <c r="D44" s="623" t="s">
        <v>97</v>
      </c>
      <c r="E44" s="623"/>
      <c r="F44" s="623"/>
      <c r="G44" s="557">
        <f>'Apr - Jun 2024'!G43</f>
        <v>60871.39</v>
      </c>
      <c r="H44" s="560"/>
      <c r="I44" s="622" t="s">
        <v>168</v>
      </c>
      <c r="J44" s="622"/>
      <c r="K44" s="622"/>
      <c r="L44" s="575">
        <v>41660.800000000003</v>
      </c>
      <c r="M44" s="560"/>
      <c r="N44" s="560"/>
      <c r="O44" s="560"/>
      <c r="P44" s="560"/>
      <c r="Q44" s="560"/>
      <c r="R44" s="560"/>
      <c r="S44" s="561"/>
      <c r="T44" s="560" t="s">
        <v>169</v>
      </c>
      <c r="U44" s="560"/>
      <c r="V44" s="560"/>
      <c r="W44" s="560"/>
      <c r="X44" s="560"/>
      <c r="Y44" s="560"/>
      <c r="Z44" s="560"/>
      <c r="AA44" s="560"/>
      <c r="AB44" s="560"/>
      <c r="AC44" s="560"/>
    </row>
    <row r="45" spans="1:8192 8215:9215 9238:10238 10261:11261 11284:12284 12307:13307 13330:14330 14353:15353 15376:16376" x14ac:dyDescent="0.25">
      <c r="A45" s="107"/>
      <c r="C45" s="116"/>
      <c r="D45" s="624" t="s">
        <v>170</v>
      </c>
      <c r="E45" s="624"/>
      <c r="F45" s="624"/>
      <c r="G45" s="562">
        <f>H42</f>
        <v>30931.68</v>
      </c>
      <c r="H45" s="560"/>
      <c r="I45" s="574" t="s">
        <v>100</v>
      </c>
      <c r="J45" s="560"/>
      <c r="K45" s="560"/>
      <c r="L45" s="564">
        <v>0</v>
      </c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  <c r="Y45" s="560"/>
      <c r="Z45" s="560"/>
      <c r="AA45" s="560"/>
      <c r="AB45" s="560"/>
      <c r="AC45" s="560"/>
    </row>
    <row r="46" spans="1:8192 8215:9215 9238:10238 10261:11261 11284:12284 12307:13307 13330:14330 14353:15353 15376:16376" x14ac:dyDescent="0.25">
      <c r="C46" s="116"/>
      <c r="D46" s="616"/>
      <c r="E46" s="617"/>
      <c r="F46" s="618"/>
      <c r="G46" s="565">
        <f>SUM(G44:G45)</f>
        <v>91803.07</v>
      </c>
      <c r="H46" s="560"/>
      <c r="I46" s="563"/>
      <c r="J46" s="560"/>
      <c r="K46" s="560"/>
      <c r="L46" s="565">
        <f>SUM(L44:L45)</f>
        <v>41660.800000000003</v>
      </c>
      <c r="M46" s="560"/>
      <c r="N46" s="560"/>
      <c r="O46" s="560"/>
      <c r="P46" s="560"/>
      <c r="Q46" s="560"/>
      <c r="R46" s="566"/>
      <c r="S46" s="560"/>
      <c r="T46" s="560"/>
      <c r="U46" s="560"/>
      <c r="V46" s="560"/>
      <c r="W46" s="560"/>
      <c r="X46" s="560"/>
      <c r="Y46" s="560"/>
      <c r="Z46" s="560"/>
      <c r="AA46" s="560"/>
      <c r="AB46" s="560"/>
      <c r="AC46" s="560"/>
    </row>
    <row r="47" spans="1:8192 8215:9215 9238:10238 10261:11261 11284:12284 12307:13307 13330:14330 14353:15353 15376:16376" x14ac:dyDescent="0.25">
      <c r="C47" s="116"/>
      <c r="D47" s="624" t="s">
        <v>171</v>
      </c>
      <c r="E47" s="624"/>
      <c r="F47" s="624"/>
      <c r="G47" s="567">
        <f>L38</f>
        <v>50658.37000000001</v>
      </c>
      <c r="H47" s="560"/>
      <c r="I47" s="560" t="s">
        <v>102</v>
      </c>
      <c r="J47" s="560"/>
      <c r="K47" s="560"/>
      <c r="L47" s="568">
        <f>35+60+371.1+50</f>
        <v>516.1</v>
      </c>
      <c r="M47" s="560" t="s">
        <v>172</v>
      </c>
      <c r="N47" s="560"/>
      <c r="O47" s="560"/>
      <c r="P47" s="560"/>
      <c r="Q47" s="560"/>
      <c r="R47" s="566"/>
      <c r="S47" s="560"/>
      <c r="T47" s="560"/>
      <c r="U47" s="560"/>
      <c r="V47" s="560"/>
      <c r="W47" s="560"/>
      <c r="X47" s="560"/>
      <c r="Y47" s="560"/>
      <c r="Z47" s="560"/>
      <c r="AA47" s="560"/>
      <c r="AB47" s="560"/>
      <c r="AC47" s="560"/>
    </row>
    <row r="48" spans="1:8192 8215:9215 9238:10238 10261:11261 11284:12284 12307:13307 13330:14330 14353:15353 15376:16376" x14ac:dyDescent="0.25">
      <c r="C48" s="116"/>
      <c r="D48" s="623" t="s">
        <v>173</v>
      </c>
      <c r="E48" s="623"/>
      <c r="F48" s="623"/>
      <c r="G48" s="569">
        <f>G46-G47</f>
        <v>41144.699999999997</v>
      </c>
      <c r="H48" s="560"/>
      <c r="I48" s="560"/>
      <c r="J48" s="560"/>
      <c r="K48" s="560"/>
      <c r="L48" s="569">
        <f>+L46-L47</f>
        <v>41144.700000000004</v>
      </c>
      <c r="M48" s="570" t="s">
        <v>174</v>
      </c>
      <c r="N48" s="560"/>
      <c r="O48" s="560"/>
      <c r="P48" s="560"/>
      <c r="Q48" s="560"/>
      <c r="R48" s="566"/>
      <c r="S48" s="560"/>
      <c r="T48" s="560"/>
      <c r="U48" s="560"/>
      <c r="V48" s="560"/>
      <c r="W48" s="560"/>
      <c r="X48" s="560"/>
      <c r="Y48" s="560"/>
      <c r="Z48" s="560"/>
      <c r="AA48" s="560"/>
      <c r="AB48" s="560"/>
      <c r="AC48" s="560"/>
    </row>
    <row r="49" spans="2:32" x14ac:dyDescent="0.25">
      <c r="B49" s="115"/>
      <c r="C49" s="116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6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  <c r="AC49" s="560"/>
    </row>
    <row r="50" spans="2:32" x14ac:dyDescent="0.25">
      <c r="G50" s="560"/>
      <c r="H50" s="560"/>
      <c r="I50" s="560"/>
      <c r="J50" s="560"/>
      <c r="K50" s="560"/>
      <c r="L50" s="571">
        <f>L48-G48</f>
        <v>0</v>
      </c>
      <c r="M50" s="560" t="s">
        <v>107</v>
      </c>
      <c r="N50" s="560"/>
      <c r="O50" s="560"/>
      <c r="P50" s="560"/>
      <c r="Q50" s="560"/>
      <c r="R50" s="566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</row>
    <row r="51" spans="2:32" x14ac:dyDescent="0.25"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6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</row>
    <row r="52" spans="2:32" x14ac:dyDescent="0.25"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6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</row>
    <row r="53" spans="2:32" x14ac:dyDescent="0.25">
      <c r="G53" s="560"/>
      <c r="H53" s="560"/>
      <c r="I53" s="560"/>
      <c r="J53" s="560"/>
      <c r="K53" s="560"/>
      <c r="L53" s="560"/>
      <c r="M53" s="572"/>
      <c r="N53" s="572"/>
      <c r="O53" s="572"/>
      <c r="P53" s="572"/>
      <c r="Q53" s="573"/>
      <c r="R53" s="566"/>
      <c r="S53" s="573"/>
      <c r="T53" s="573"/>
      <c r="U53" s="573"/>
      <c r="V53" s="573"/>
      <c r="W53" s="573"/>
      <c r="X53" s="572"/>
      <c r="Y53" s="572"/>
      <c r="Z53" s="572"/>
      <c r="AA53" s="572"/>
      <c r="AB53" s="572"/>
      <c r="AC53" s="572"/>
      <c r="AE53" s="111"/>
    </row>
    <row r="54" spans="2:32" x14ac:dyDescent="0.25">
      <c r="G54" s="560"/>
      <c r="H54" s="560"/>
      <c r="I54" s="560"/>
      <c r="J54" s="560"/>
      <c r="K54" s="560"/>
      <c r="L54" s="560"/>
      <c r="M54" s="572"/>
      <c r="N54" s="572"/>
      <c r="O54" s="572"/>
      <c r="P54" s="572"/>
      <c r="Q54" s="573"/>
      <c r="R54" s="573"/>
      <c r="S54" s="573"/>
      <c r="T54" s="573"/>
      <c r="U54" s="573"/>
      <c r="V54" s="573"/>
      <c r="W54" s="573"/>
      <c r="X54" s="572"/>
      <c r="Y54" s="572"/>
      <c r="Z54" s="572"/>
      <c r="AA54" s="572"/>
      <c r="AB54" s="572"/>
      <c r="AC54" s="572"/>
      <c r="AF54" s="243"/>
    </row>
    <row r="55" spans="2:32" x14ac:dyDescent="0.25">
      <c r="G55" s="560"/>
      <c r="H55" s="560"/>
      <c r="I55" s="560"/>
      <c r="J55" s="560"/>
      <c r="K55" s="560"/>
      <c r="L55" s="560"/>
      <c r="M55" s="572"/>
      <c r="N55" s="572"/>
      <c r="O55" s="572"/>
      <c r="P55" s="572"/>
      <c r="Q55" s="573"/>
      <c r="R55" s="573"/>
      <c r="S55" s="573"/>
      <c r="T55" s="573"/>
      <c r="U55" s="573"/>
      <c r="V55" s="573"/>
      <c r="W55" s="573"/>
      <c r="X55" s="572"/>
      <c r="Y55" s="572"/>
      <c r="Z55" s="572"/>
      <c r="AA55" s="572"/>
      <c r="AB55" s="572"/>
      <c r="AC55" s="572"/>
    </row>
    <row r="56" spans="2:32" x14ac:dyDescent="0.25">
      <c r="G56" s="560"/>
      <c r="H56" s="560"/>
      <c r="I56" s="560"/>
      <c r="J56" s="560"/>
      <c r="K56" s="560"/>
      <c r="L56" s="560"/>
      <c r="M56" s="572"/>
      <c r="N56" s="572"/>
      <c r="O56" s="572"/>
      <c r="P56" s="572"/>
      <c r="Q56" s="573"/>
      <c r="R56" s="573"/>
      <c r="S56" s="573"/>
      <c r="T56" s="573"/>
      <c r="U56" s="573"/>
      <c r="V56" s="573"/>
      <c r="W56" s="573"/>
      <c r="X56" s="572"/>
      <c r="Y56" s="572"/>
      <c r="Z56" s="572"/>
      <c r="AA56" s="572"/>
      <c r="AB56" s="572"/>
      <c r="AC56" s="572"/>
    </row>
    <row r="57" spans="2:32" x14ac:dyDescent="0.25">
      <c r="G57" s="560"/>
      <c r="H57" s="560"/>
      <c r="I57" s="560"/>
      <c r="J57" s="560"/>
      <c r="K57" s="560"/>
      <c r="L57" s="560"/>
      <c r="M57" s="572"/>
      <c r="N57" s="572"/>
      <c r="O57" s="572"/>
      <c r="P57" s="572"/>
      <c r="Q57" s="573"/>
      <c r="R57" s="573"/>
      <c r="S57" s="573"/>
      <c r="T57" s="573"/>
      <c r="U57" s="573"/>
      <c r="V57" s="573"/>
      <c r="W57" s="573"/>
      <c r="X57" s="572"/>
      <c r="Y57" s="572"/>
      <c r="Z57" s="572"/>
      <c r="AA57" s="572"/>
      <c r="AB57" s="572"/>
      <c r="AC57" s="572"/>
    </row>
    <row r="58" spans="2:32" x14ac:dyDescent="0.25">
      <c r="G58" s="560"/>
      <c r="H58" s="560"/>
      <c r="I58" s="560"/>
      <c r="J58" s="560"/>
      <c r="K58" s="560"/>
      <c r="L58" s="560"/>
      <c r="M58" s="572"/>
      <c r="N58" s="572"/>
      <c r="O58" s="572"/>
      <c r="P58" s="572"/>
      <c r="Q58" s="573"/>
      <c r="R58" s="573"/>
      <c r="S58" s="573"/>
      <c r="T58" s="573"/>
      <c r="U58" s="573"/>
      <c r="V58" s="573"/>
      <c r="W58" s="573"/>
      <c r="X58" s="572"/>
      <c r="Y58" s="572"/>
      <c r="Z58" s="572"/>
      <c r="AA58" s="572"/>
      <c r="AB58" s="572"/>
      <c r="AC58" s="572"/>
    </row>
    <row r="59" spans="2:32" x14ac:dyDescent="0.25">
      <c r="M59" s="266"/>
      <c r="N59" s="266"/>
      <c r="O59" s="266"/>
      <c r="P59" s="266"/>
      <c r="Q59" s="379"/>
      <c r="R59" s="379"/>
      <c r="S59" s="379"/>
      <c r="T59" s="379"/>
      <c r="U59" s="379"/>
      <c r="V59" s="379"/>
      <c r="W59" s="379"/>
      <c r="X59" s="266"/>
      <c r="Y59" s="266"/>
      <c r="Z59" s="266"/>
      <c r="AA59" s="266"/>
      <c r="AB59" s="266"/>
      <c r="AC59" s="266"/>
    </row>
    <row r="61" spans="2:32" x14ac:dyDescent="0.25"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</row>
    <row r="64" spans="2:32" x14ac:dyDescent="0.25">
      <c r="AE64" s="267"/>
    </row>
    <row r="65" spans="31:31" x14ac:dyDescent="0.25">
      <c r="AE65" s="267"/>
    </row>
  </sheetData>
  <mergeCells count="5">
    <mergeCell ref="I44:K44"/>
    <mergeCell ref="D44:F44"/>
    <mergeCell ref="D45:F45"/>
    <mergeCell ref="D47:F47"/>
    <mergeCell ref="D48:F48"/>
  </mergeCells>
  <phoneticPr fontId="26" type="noConversion"/>
  <pageMargins left="0.70833333333333304" right="0.70833333333333304" top="0.74791666666666701" bottom="0.74791666666666701" header="0.51180555555555496" footer="0.51180555555555496"/>
  <pageSetup paperSize="9" scale="34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O52"/>
  <sheetViews>
    <sheetView topLeftCell="R1" zoomScale="80" zoomScaleNormal="80" workbookViewId="0">
      <pane ySplit="4" topLeftCell="A5" activePane="bottomLeft" state="frozen"/>
      <selection activeCell="B1" sqref="B1"/>
      <selection pane="bottomLeft" activeCell="B36" sqref="B36"/>
    </sheetView>
  </sheetViews>
  <sheetFormatPr defaultRowHeight="15" x14ac:dyDescent="0.25"/>
  <cols>
    <col min="1" max="1" width="8.85546875" style="79" customWidth="1"/>
    <col min="2" max="2" width="37.7109375" style="80" bestFit="1" customWidth="1"/>
    <col min="3" max="3" width="16" style="124" bestFit="1" customWidth="1"/>
    <col min="4" max="4" width="16.42578125" style="82" bestFit="1" customWidth="1"/>
    <col min="5" max="5" width="12.7109375" style="80" customWidth="1"/>
    <col min="6" max="6" width="12.28515625" style="82" bestFit="1" customWidth="1"/>
    <col min="7" max="7" width="15" style="80" customWidth="1"/>
    <col min="8" max="8" width="12.140625" style="80" customWidth="1"/>
    <col min="9" max="9" width="15" style="80" customWidth="1"/>
    <col min="10" max="10" width="12.140625" style="80" customWidth="1"/>
    <col min="11" max="11" width="12" style="80" customWidth="1"/>
    <col min="12" max="12" width="16.5703125" style="80" customWidth="1"/>
    <col min="13" max="30" width="12.7109375" style="80" customWidth="1"/>
    <col min="31" max="31" width="15.7109375" style="83" bestFit="1" customWidth="1"/>
    <col min="32" max="1029" width="9.140625" style="83" customWidth="1"/>
  </cols>
  <sheetData>
    <row r="1" spans="1:34" x14ac:dyDescent="0.25">
      <c r="B1" s="487" t="s">
        <v>0</v>
      </c>
      <c r="M1" s="272"/>
      <c r="N1" s="272"/>
      <c r="O1" s="272"/>
      <c r="P1" s="273"/>
      <c r="Q1" s="273"/>
      <c r="R1" s="272"/>
      <c r="S1" s="272"/>
      <c r="T1" s="272"/>
      <c r="U1" s="272"/>
      <c r="V1" s="272"/>
      <c r="W1" s="272"/>
      <c r="X1" s="273"/>
      <c r="Y1" s="272"/>
      <c r="Z1" s="274"/>
      <c r="AA1" s="272"/>
      <c r="AB1" s="272"/>
      <c r="AC1" s="272"/>
      <c r="AD1" s="275"/>
    </row>
    <row r="2" spans="1:34" x14ac:dyDescent="0.25">
      <c r="A2" s="279"/>
      <c r="B2" s="280"/>
      <c r="C2" s="281"/>
      <c r="D2" s="282"/>
      <c r="E2" s="280"/>
      <c r="F2" s="283"/>
      <c r="G2" s="283"/>
      <c r="H2" s="283"/>
      <c r="I2" s="279"/>
      <c r="J2" s="280"/>
      <c r="K2" s="269"/>
      <c r="L2" s="269"/>
      <c r="M2" s="269"/>
      <c r="N2" s="269"/>
    </row>
    <row r="3" spans="1:34" ht="15.75" thickBot="1" x14ac:dyDescent="0.3">
      <c r="B3" s="487"/>
      <c r="G3" s="84" t="s">
        <v>1</v>
      </c>
      <c r="H3" s="85"/>
      <c r="I3" s="85"/>
      <c r="J3" s="85"/>
      <c r="K3" s="85"/>
      <c r="L3" s="86" t="s">
        <v>2</v>
      </c>
      <c r="M3" s="277"/>
      <c r="N3" s="278" t="s">
        <v>3</v>
      </c>
      <c r="O3" s="204"/>
      <c r="P3" s="205"/>
      <c r="Q3" s="204"/>
      <c r="R3" s="206"/>
      <c r="S3" s="207"/>
      <c r="T3" s="207"/>
      <c r="U3" s="207"/>
      <c r="V3" s="207"/>
      <c r="W3" s="207" t="s">
        <v>4</v>
      </c>
      <c r="X3" s="207"/>
      <c r="Y3" s="208"/>
      <c r="Z3" s="209"/>
      <c r="AA3" s="210" t="s">
        <v>5</v>
      </c>
      <c r="AB3" s="210"/>
      <c r="AC3" s="211"/>
      <c r="AD3" s="87"/>
      <c r="AE3" s="87"/>
    </row>
    <row r="4" spans="1:34" ht="33.75" customHeight="1" thickTop="1" thickBot="1" x14ac:dyDescent="0.3">
      <c r="A4" s="10" t="s">
        <v>6</v>
      </c>
      <c r="B4" s="11" t="s">
        <v>7</v>
      </c>
      <c r="C4" s="12" t="s">
        <v>8</v>
      </c>
      <c r="D4" s="13" t="s">
        <v>9</v>
      </c>
      <c r="E4" s="14" t="s">
        <v>10</v>
      </c>
      <c r="F4" s="15" t="s">
        <v>11</v>
      </c>
      <c r="G4" s="16" t="s">
        <v>17</v>
      </c>
      <c r="H4" s="17" t="s">
        <v>13</v>
      </c>
      <c r="I4" s="18" t="s">
        <v>14</v>
      </c>
      <c r="J4" s="18" t="s">
        <v>15</v>
      </c>
      <c r="K4" s="19" t="s">
        <v>35</v>
      </c>
      <c r="L4" s="20" t="s">
        <v>17</v>
      </c>
      <c r="M4" s="201" t="s">
        <v>18</v>
      </c>
      <c r="N4" s="202" t="s">
        <v>19</v>
      </c>
      <c r="O4" s="202" t="s">
        <v>20</v>
      </c>
      <c r="P4" s="212" t="s">
        <v>21</v>
      </c>
      <c r="Q4" s="212" t="s">
        <v>22</v>
      </c>
      <c r="R4" s="285" t="s">
        <v>23</v>
      </c>
      <c r="S4" s="202" t="s">
        <v>24</v>
      </c>
      <c r="T4" s="202" t="s">
        <v>25</v>
      </c>
      <c r="U4" s="202" t="s">
        <v>26</v>
      </c>
      <c r="V4" s="202" t="s">
        <v>27</v>
      </c>
      <c r="W4" s="202" t="s">
        <v>28</v>
      </c>
      <c r="X4" s="212" t="s">
        <v>29</v>
      </c>
      <c r="Y4" s="202" t="s">
        <v>30</v>
      </c>
      <c r="Z4" s="213" t="s">
        <v>31</v>
      </c>
      <c r="AA4" s="202" t="s">
        <v>32</v>
      </c>
      <c r="AB4" s="202" t="s">
        <v>33</v>
      </c>
      <c r="AC4" s="233" t="s">
        <v>34</v>
      </c>
      <c r="AD4" s="21" t="s">
        <v>35</v>
      </c>
      <c r="AE4" s="21" t="s">
        <v>36</v>
      </c>
      <c r="AH4" s="342" t="s">
        <v>34</v>
      </c>
    </row>
    <row r="5" spans="1:34" x14ac:dyDescent="0.25">
      <c r="A5" s="188">
        <v>44562</v>
      </c>
      <c r="B5" s="189" t="s">
        <v>110</v>
      </c>
      <c r="C5" s="199"/>
      <c r="D5" s="192"/>
      <c r="E5" s="197"/>
      <c r="F5" s="200"/>
      <c r="G5" s="529">
        <f>'Oct - Dec 2024'!$G$40</f>
        <v>89348.57</v>
      </c>
      <c r="H5" s="530">
        <f>'Oct - Dec 2024'!H40</f>
        <v>22780</v>
      </c>
      <c r="I5" s="531">
        <f>'Oct - Dec 2024'!I40</f>
        <v>0</v>
      </c>
      <c r="J5" s="531">
        <f>'Oct - Dec 2024'!J40</f>
        <v>4257.5</v>
      </c>
      <c r="K5" s="532">
        <f>'Oct - Dec 2024'!K40</f>
        <v>3894.18</v>
      </c>
      <c r="L5" s="526">
        <f>'Oct - Dec 2024'!L40</f>
        <v>50658.37</v>
      </c>
      <c r="M5" s="594">
        <f>'Oct - Dec 2024'!M40</f>
        <v>14991.2</v>
      </c>
      <c r="N5" s="534">
        <f>'Oct - Dec 2024'!N40</f>
        <v>4596.9500000000007</v>
      </c>
      <c r="O5" s="534">
        <f>'Oct - Dec 2024'!O40</f>
        <v>13210.04</v>
      </c>
      <c r="P5" s="534">
        <f>'Oct - Dec 2024'!P40</f>
        <v>3100</v>
      </c>
      <c r="Q5" s="534">
        <f>+'Oct - Dec 2024'!Q40</f>
        <v>53.4</v>
      </c>
      <c r="R5" s="534">
        <f>'Oct - Dec 2024'!R40</f>
        <v>635</v>
      </c>
      <c r="S5" s="534">
        <f>'Oct - Dec 2024'!S40</f>
        <v>790.17</v>
      </c>
      <c r="T5" s="534">
        <f>'Oct - Dec 2024'!T40</f>
        <v>470.49</v>
      </c>
      <c r="U5" s="534">
        <f>'Oct - Dec 2024'!U40</f>
        <v>235</v>
      </c>
      <c r="V5" s="534">
        <f>'Oct - Dec 2024'!V40</f>
        <v>1819.5</v>
      </c>
      <c r="W5" s="534">
        <f>'Oct - Dec 2024'!W40</f>
        <v>3000</v>
      </c>
      <c r="X5" s="534">
        <f>'Oct - Dec 2024'!X40</f>
        <v>0</v>
      </c>
      <c r="Y5" s="534">
        <f>'Oct - Dec 2024'!Y40</f>
        <v>0</v>
      </c>
      <c r="Z5" s="534">
        <f>'Oct - Dec 2024'!Z40</f>
        <v>1567.21</v>
      </c>
      <c r="AA5" s="534">
        <f>'Oct - Dec 2024'!AA40</f>
        <v>219.89999999999998</v>
      </c>
      <c r="AB5" s="534">
        <f>'Oct - Dec 2024'!AB40</f>
        <v>2000</v>
      </c>
      <c r="AC5" s="534">
        <f>'Oct - Dec 2024'!AC40</f>
        <v>0</v>
      </c>
      <c r="AD5" s="534">
        <f>'Oct - Dec 2024'!AD40</f>
        <v>3969.51</v>
      </c>
      <c r="AE5" s="217"/>
      <c r="AH5" s="216">
        <f>+'Oct - Dec 2024'!AH40</f>
        <v>6350.5</v>
      </c>
    </row>
    <row r="6" spans="1:34" x14ac:dyDescent="0.25">
      <c r="A6" s="578">
        <v>45672</v>
      </c>
      <c r="B6" s="49" t="s">
        <v>175</v>
      </c>
      <c r="C6" s="276" t="s">
        <v>176</v>
      </c>
      <c r="D6" s="332" t="s">
        <v>177</v>
      </c>
      <c r="E6" s="590">
        <v>93.6</v>
      </c>
      <c r="F6" s="98">
        <v>45672</v>
      </c>
      <c r="G6" s="535">
        <v>93.6</v>
      </c>
      <c r="H6" s="536"/>
      <c r="I6" s="513"/>
      <c r="J6" s="513">
        <v>93.6</v>
      </c>
      <c r="K6" s="537"/>
      <c r="L6" s="511"/>
      <c r="M6" s="512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4"/>
      <c r="AD6" s="515"/>
      <c r="AE6" s="97"/>
      <c r="AH6" s="588"/>
    </row>
    <row r="7" spans="1:34" x14ac:dyDescent="0.25">
      <c r="A7" s="578">
        <v>45678</v>
      </c>
      <c r="B7" s="218" t="s">
        <v>38</v>
      </c>
      <c r="C7" s="276" t="s">
        <v>178</v>
      </c>
      <c r="D7" s="589">
        <v>783154602</v>
      </c>
      <c r="E7" s="590">
        <v>1160</v>
      </c>
      <c r="F7" s="98">
        <v>45680</v>
      </c>
      <c r="G7" s="595"/>
      <c r="H7" s="596"/>
      <c r="I7" s="597"/>
      <c r="J7" s="597"/>
      <c r="K7" s="598"/>
      <c r="L7" s="599">
        <v>1160</v>
      </c>
      <c r="M7" s="600">
        <v>1107.5</v>
      </c>
      <c r="N7" s="597">
        <v>52.5</v>
      </c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601"/>
      <c r="AD7" s="602"/>
      <c r="AE7" s="187"/>
      <c r="AF7" s="80">
        <f t="shared" ref="AF7:AF9" si="0">+L7-SUM(M7:AD7)</f>
        <v>0</v>
      </c>
      <c r="AH7" s="35"/>
    </row>
    <row r="8" spans="1:34" x14ac:dyDescent="0.25">
      <c r="A8" s="578">
        <v>45678</v>
      </c>
      <c r="B8" s="49" t="s">
        <v>40</v>
      </c>
      <c r="C8" s="276" t="s">
        <v>178</v>
      </c>
      <c r="D8" s="386">
        <v>619822700</v>
      </c>
      <c r="E8" s="590">
        <v>109.6</v>
      </c>
      <c r="F8" s="98">
        <v>45680</v>
      </c>
      <c r="G8" s="595"/>
      <c r="H8" s="596"/>
      <c r="I8" s="597"/>
      <c r="J8" s="597"/>
      <c r="K8" s="598"/>
      <c r="L8" s="599">
        <v>109.6</v>
      </c>
      <c r="M8" s="600">
        <v>109.6</v>
      </c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601"/>
      <c r="AD8" s="602"/>
      <c r="AE8" s="97"/>
      <c r="AF8" s="80">
        <f t="shared" si="0"/>
        <v>0</v>
      </c>
      <c r="AH8" s="35"/>
    </row>
    <row r="9" spans="1:34" x14ac:dyDescent="0.25">
      <c r="A9" s="578">
        <v>45678</v>
      </c>
      <c r="B9" s="49" t="s">
        <v>41</v>
      </c>
      <c r="C9" s="276" t="s">
        <v>178</v>
      </c>
      <c r="D9" s="332">
        <v>991547063</v>
      </c>
      <c r="E9" s="590">
        <v>446.67</v>
      </c>
      <c r="F9" s="98">
        <v>45680</v>
      </c>
      <c r="G9" s="535"/>
      <c r="H9" s="536"/>
      <c r="I9" s="513"/>
      <c r="J9" s="513"/>
      <c r="K9" s="537"/>
      <c r="L9" s="511">
        <v>446.67</v>
      </c>
      <c r="M9" s="512">
        <v>446.67</v>
      </c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4"/>
      <c r="AD9" s="515"/>
      <c r="AE9" s="97"/>
      <c r="AF9" s="80">
        <f t="shared" si="0"/>
        <v>0</v>
      </c>
      <c r="AH9" s="35"/>
    </row>
    <row r="10" spans="1:34" x14ac:dyDescent="0.25">
      <c r="A10" s="578">
        <v>45678</v>
      </c>
      <c r="B10" s="42" t="s">
        <v>42</v>
      </c>
      <c r="C10" s="591">
        <v>8638</v>
      </c>
      <c r="D10" s="332">
        <v>102701351</v>
      </c>
      <c r="E10" s="590">
        <v>42</v>
      </c>
      <c r="F10" s="98">
        <v>45680</v>
      </c>
      <c r="G10" s="535"/>
      <c r="H10" s="536"/>
      <c r="I10" s="513"/>
      <c r="J10" s="513"/>
      <c r="K10" s="537"/>
      <c r="L10" s="511">
        <v>42</v>
      </c>
      <c r="M10" s="512"/>
      <c r="N10" s="513"/>
      <c r="O10" s="513">
        <v>35</v>
      </c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4"/>
      <c r="AD10" s="515">
        <v>7</v>
      </c>
      <c r="AE10" s="97" t="s">
        <v>44</v>
      </c>
      <c r="AF10" s="80">
        <f t="shared" ref="AF10:AF32" si="1">+L10-SUM(M10:AD10)</f>
        <v>0</v>
      </c>
      <c r="AH10" s="35"/>
    </row>
    <row r="11" spans="1:34" x14ac:dyDescent="0.25">
      <c r="A11" s="578">
        <v>45678</v>
      </c>
      <c r="B11" s="173" t="s">
        <v>119</v>
      </c>
      <c r="C11" s="128">
        <v>5261174</v>
      </c>
      <c r="D11" s="332">
        <v>206247946</v>
      </c>
      <c r="E11" s="590">
        <v>144.72</v>
      </c>
      <c r="F11" s="98">
        <v>45680</v>
      </c>
      <c r="G11" s="535"/>
      <c r="H11" s="536"/>
      <c r="I11" s="513"/>
      <c r="J11" s="513"/>
      <c r="K11" s="537"/>
      <c r="L11" s="511">
        <v>144.72</v>
      </c>
      <c r="M11" s="512"/>
      <c r="N11" s="513">
        <v>120.6</v>
      </c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4"/>
      <c r="AD11" s="515">
        <v>24.12</v>
      </c>
      <c r="AE11" s="97" t="s">
        <v>120</v>
      </c>
      <c r="AF11" s="80">
        <f t="shared" si="1"/>
        <v>0</v>
      </c>
      <c r="AH11" s="35"/>
    </row>
    <row r="12" spans="1:34" x14ac:dyDescent="0.25">
      <c r="A12" s="578">
        <v>45678</v>
      </c>
      <c r="B12" s="42" t="s">
        <v>179</v>
      </c>
      <c r="C12" s="128" t="s">
        <v>180</v>
      </c>
      <c r="D12" s="387">
        <v>52560481</v>
      </c>
      <c r="E12" s="590">
        <v>732.28</v>
      </c>
      <c r="F12" s="98">
        <v>45680</v>
      </c>
      <c r="G12" s="535"/>
      <c r="H12" s="536"/>
      <c r="I12" s="513"/>
      <c r="J12" s="513"/>
      <c r="K12" s="537"/>
      <c r="L12" s="511">
        <v>732.28</v>
      </c>
      <c r="M12" s="512"/>
      <c r="N12" s="513"/>
      <c r="O12" s="513"/>
      <c r="P12" s="513"/>
      <c r="Q12" s="513"/>
      <c r="R12" s="513"/>
      <c r="S12" s="513"/>
      <c r="T12" s="513">
        <v>610.23</v>
      </c>
      <c r="U12" s="513"/>
      <c r="V12" s="513"/>
      <c r="W12" s="513"/>
      <c r="X12" s="513"/>
      <c r="Y12" s="513"/>
      <c r="Z12" s="513"/>
      <c r="AA12" s="513"/>
      <c r="AB12" s="513"/>
      <c r="AC12" s="514"/>
      <c r="AD12" s="515">
        <v>122.05</v>
      </c>
      <c r="AE12" s="97" t="s">
        <v>181</v>
      </c>
      <c r="AF12" s="80">
        <f t="shared" si="1"/>
        <v>0</v>
      </c>
      <c r="AH12" s="35"/>
    </row>
    <row r="13" spans="1:34" x14ac:dyDescent="0.25">
      <c r="A13" s="578">
        <v>45688</v>
      </c>
      <c r="B13" s="42" t="s">
        <v>132</v>
      </c>
      <c r="C13" s="592" t="s">
        <v>182</v>
      </c>
      <c r="D13" s="332" t="s">
        <v>183</v>
      </c>
      <c r="E13" s="590">
        <v>6</v>
      </c>
      <c r="F13" s="98">
        <v>45688</v>
      </c>
      <c r="G13" s="535"/>
      <c r="H13" s="536"/>
      <c r="I13" s="513"/>
      <c r="J13" s="513"/>
      <c r="K13" s="537"/>
      <c r="L13" s="511">
        <v>6</v>
      </c>
      <c r="M13" s="512"/>
      <c r="N13" s="513"/>
      <c r="O13" s="513"/>
      <c r="P13" s="513"/>
      <c r="Q13" s="513">
        <v>6</v>
      </c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4"/>
      <c r="AD13" s="515"/>
      <c r="AE13" s="341"/>
      <c r="AF13" s="80">
        <f t="shared" si="1"/>
        <v>0</v>
      </c>
      <c r="AH13" s="132"/>
    </row>
    <row r="14" spans="1:34" x14ac:dyDescent="0.25">
      <c r="A14" s="578">
        <v>45706</v>
      </c>
      <c r="B14" s="218" t="s">
        <v>38</v>
      </c>
      <c r="C14" s="128" t="s">
        <v>184</v>
      </c>
      <c r="D14" s="332">
        <v>1446361560</v>
      </c>
      <c r="E14" s="590">
        <v>1160</v>
      </c>
      <c r="F14" s="98">
        <v>45714</v>
      </c>
      <c r="G14" s="535"/>
      <c r="H14" s="536"/>
      <c r="I14" s="513"/>
      <c r="J14" s="513"/>
      <c r="K14" s="537"/>
      <c r="L14" s="511">
        <v>1160</v>
      </c>
      <c r="M14" s="512">
        <v>1107.5</v>
      </c>
      <c r="N14" s="513">
        <v>52.5</v>
      </c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4"/>
      <c r="AD14" s="515"/>
      <c r="AE14" s="341"/>
      <c r="AF14" s="80">
        <f t="shared" si="1"/>
        <v>0</v>
      </c>
      <c r="AH14" s="35"/>
    </row>
    <row r="15" spans="1:34" x14ac:dyDescent="0.25">
      <c r="A15" s="578">
        <v>45706</v>
      </c>
      <c r="B15" s="49" t="s">
        <v>40</v>
      </c>
      <c r="C15" s="128" t="s">
        <v>184</v>
      </c>
      <c r="D15" s="332">
        <v>486772479</v>
      </c>
      <c r="E15" s="590">
        <v>109.6</v>
      </c>
      <c r="F15" s="98">
        <v>45714</v>
      </c>
      <c r="G15" s="535"/>
      <c r="H15" s="536"/>
      <c r="I15" s="513"/>
      <c r="J15" s="513"/>
      <c r="K15" s="537"/>
      <c r="L15" s="511">
        <v>109.6</v>
      </c>
      <c r="M15" s="512">
        <v>109.6</v>
      </c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4"/>
      <c r="AD15" s="515"/>
      <c r="AE15" s="341"/>
      <c r="AF15" s="80">
        <f t="shared" si="1"/>
        <v>0</v>
      </c>
      <c r="AH15" s="35"/>
    </row>
    <row r="16" spans="1:34" x14ac:dyDescent="0.25">
      <c r="A16" s="578">
        <v>45706</v>
      </c>
      <c r="B16" s="49" t="s">
        <v>41</v>
      </c>
      <c r="C16" s="128" t="s">
        <v>184</v>
      </c>
      <c r="D16" s="388">
        <v>98371252</v>
      </c>
      <c r="E16" s="590">
        <v>446.67</v>
      </c>
      <c r="F16" s="98">
        <v>45714</v>
      </c>
      <c r="G16" s="535"/>
      <c r="H16" s="536"/>
      <c r="I16" s="513"/>
      <c r="J16" s="513"/>
      <c r="K16" s="537"/>
      <c r="L16" s="511">
        <v>446.67</v>
      </c>
      <c r="M16" s="512">
        <v>446.67</v>
      </c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4"/>
      <c r="AD16" s="515"/>
      <c r="AE16" s="97"/>
      <c r="AF16" s="80">
        <f t="shared" si="1"/>
        <v>0</v>
      </c>
      <c r="AH16" s="37"/>
    </row>
    <row r="17" spans="1:34" x14ac:dyDescent="0.25">
      <c r="A17" s="578">
        <v>45706</v>
      </c>
      <c r="B17" s="42" t="s">
        <v>42</v>
      </c>
      <c r="C17" s="128">
        <v>8740</v>
      </c>
      <c r="D17" s="332">
        <v>334402872</v>
      </c>
      <c r="E17" s="590">
        <v>552</v>
      </c>
      <c r="F17" s="98">
        <v>45714</v>
      </c>
      <c r="G17" s="535"/>
      <c r="H17" s="536"/>
      <c r="I17" s="513"/>
      <c r="J17" s="513"/>
      <c r="K17" s="537"/>
      <c r="L17" s="511">
        <v>552</v>
      </c>
      <c r="M17" s="512"/>
      <c r="N17" s="603"/>
      <c r="O17" s="513">
        <v>460</v>
      </c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4"/>
      <c r="AD17" s="515">
        <v>92</v>
      </c>
      <c r="AE17" s="341" t="s">
        <v>44</v>
      </c>
      <c r="AF17" s="80">
        <f t="shared" si="1"/>
        <v>0</v>
      </c>
      <c r="AH17" s="129"/>
    </row>
    <row r="18" spans="1:34" x14ac:dyDescent="0.25">
      <c r="A18" s="578">
        <v>45706</v>
      </c>
      <c r="B18" s="42" t="s">
        <v>185</v>
      </c>
      <c r="C18" s="128" t="s">
        <v>186</v>
      </c>
      <c r="D18" s="386">
        <v>492104381</v>
      </c>
      <c r="E18" s="590">
        <v>9.5</v>
      </c>
      <c r="F18" s="98">
        <v>45714</v>
      </c>
      <c r="G18" s="595"/>
      <c r="H18" s="596"/>
      <c r="I18" s="597"/>
      <c r="J18" s="597"/>
      <c r="K18" s="598"/>
      <c r="L18" s="599">
        <v>9.5</v>
      </c>
      <c r="M18" s="600"/>
      <c r="N18" s="597"/>
      <c r="O18" s="597"/>
      <c r="P18" s="597"/>
      <c r="Q18" s="597"/>
      <c r="R18" s="597"/>
      <c r="S18" s="597"/>
      <c r="T18" s="597"/>
      <c r="U18" s="597"/>
      <c r="V18" s="597">
        <v>7.92</v>
      </c>
      <c r="W18" s="597"/>
      <c r="X18" s="597"/>
      <c r="Y18" s="597"/>
      <c r="Z18" s="597"/>
      <c r="AA18" s="597"/>
      <c r="AB18" s="597"/>
      <c r="AC18" s="601"/>
      <c r="AD18" s="602">
        <v>1.58</v>
      </c>
      <c r="AE18" s="341" t="s">
        <v>187</v>
      </c>
      <c r="AF18" s="80">
        <f t="shared" si="1"/>
        <v>0</v>
      </c>
      <c r="AH18" s="129">
        <v>9.5</v>
      </c>
    </row>
    <row r="19" spans="1:34" x14ac:dyDescent="0.25">
      <c r="A19" s="578">
        <v>45716</v>
      </c>
      <c r="B19" s="42" t="s">
        <v>132</v>
      </c>
      <c r="C19" s="592" t="s">
        <v>188</v>
      </c>
      <c r="D19" s="332" t="s">
        <v>183</v>
      </c>
      <c r="E19" s="590">
        <v>6</v>
      </c>
      <c r="F19" s="98">
        <v>45716</v>
      </c>
      <c r="G19" s="535"/>
      <c r="H19" s="536"/>
      <c r="I19" s="513"/>
      <c r="J19" s="513"/>
      <c r="K19" s="537"/>
      <c r="L19" s="511">
        <v>6</v>
      </c>
      <c r="M19" s="512"/>
      <c r="N19" s="513"/>
      <c r="O19" s="513"/>
      <c r="P19" s="513"/>
      <c r="Q19" s="513">
        <v>6</v>
      </c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4"/>
      <c r="AD19" s="515"/>
      <c r="AE19" s="341"/>
      <c r="AF19" s="80">
        <f t="shared" ref="AF19" si="2">+L19-SUM(M19:AD19)</f>
        <v>0</v>
      </c>
      <c r="AH19" s="132"/>
    </row>
    <row r="20" spans="1:34" x14ac:dyDescent="0.25">
      <c r="A20" s="88">
        <v>45734</v>
      </c>
      <c r="B20" s="218" t="s">
        <v>38</v>
      </c>
      <c r="C20" s="128" t="s">
        <v>189</v>
      </c>
      <c r="D20" s="332">
        <v>427996817</v>
      </c>
      <c r="E20" s="590">
        <v>1160</v>
      </c>
      <c r="F20" s="98">
        <v>45737</v>
      </c>
      <c r="G20" s="535"/>
      <c r="H20" s="536"/>
      <c r="I20" s="513"/>
      <c r="J20" s="513"/>
      <c r="K20" s="537"/>
      <c r="L20" s="511">
        <v>1160</v>
      </c>
      <c r="M20" s="512">
        <v>1107.5</v>
      </c>
      <c r="N20" s="513">
        <v>52.5</v>
      </c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4"/>
      <c r="AD20" s="515"/>
      <c r="AE20" s="341"/>
      <c r="AF20" s="80">
        <f t="shared" ref="AF20:AF27" si="3">+L20-SUM(M20:AD20)</f>
        <v>0</v>
      </c>
      <c r="AH20" s="129"/>
    </row>
    <row r="21" spans="1:34" x14ac:dyDescent="0.25">
      <c r="A21" s="88">
        <v>45734</v>
      </c>
      <c r="B21" s="49" t="s">
        <v>40</v>
      </c>
      <c r="C21" s="128" t="s">
        <v>189</v>
      </c>
      <c r="D21" s="332">
        <v>142472347</v>
      </c>
      <c r="E21" s="590">
        <v>109.6</v>
      </c>
      <c r="F21" s="98">
        <v>45737</v>
      </c>
      <c r="G21" s="535"/>
      <c r="H21" s="536"/>
      <c r="I21" s="513"/>
      <c r="J21" s="513"/>
      <c r="K21" s="537"/>
      <c r="L21" s="511">
        <v>109.6</v>
      </c>
      <c r="M21" s="512">
        <v>109.6</v>
      </c>
      <c r="N21" s="513"/>
      <c r="O21" s="513"/>
      <c r="P21" s="560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4"/>
      <c r="AD21" s="515"/>
      <c r="AE21" s="97"/>
      <c r="AF21" s="80">
        <f t="shared" si="3"/>
        <v>0</v>
      </c>
      <c r="AH21" s="129"/>
    </row>
    <row r="22" spans="1:34" x14ac:dyDescent="0.25">
      <c r="A22" s="88">
        <v>45734</v>
      </c>
      <c r="B22" s="49" t="s">
        <v>41</v>
      </c>
      <c r="C22" s="128" t="s">
        <v>189</v>
      </c>
      <c r="D22" s="388">
        <v>711226738</v>
      </c>
      <c r="E22" s="590">
        <v>446.67</v>
      </c>
      <c r="F22" s="98">
        <v>45737</v>
      </c>
      <c r="G22" s="535"/>
      <c r="H22" s="536"/>
      <c r="I22" s="513"/>
      <c r="J22" s="513"/>
      <c r="K22" s="537"/>
      <c r="L22" s="511">
        <v>446.67</v>
      </c>
      <c r="M22" s="512">
        <v>446.67</v>
      </c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4"/>
      <c r="AD22" s="515"/>
      <c r="AE22" s="341"/>
      <c r="AF22" s="80">
        <f t="shared" si="3"/>
        <v>0</v>
      </c>
      <c r="AH22" s="129"/>
    </row>
    <row r="23" spans="1:34" x14ac:dyDescent="0.25">
      <c r="A23" s="88">
        <v>45734</v>
      </c>
      <c r="B23" s="89" t="s">
        <v>190</v>
      </c>
      <c r="C23" s="128">
        <v>19681</v>
      </c>
      <c r="D23" s="332">
        <v>300125561</v>
      </c>
      <c r="E23" s="590">
        <v>78</v>
      </c>
      <c r="F23" s="98">
        <v>45737</v>
      </c>
      <c r="G23" s="535"/>
      <c r="H23" s="536"/>
      <c r="I23" s="513"/>
      <c r="J23" s="513"/>
      <c r="K23" s="537"/>
      <c r="L23" s="511">
        <v>78</v>
      </c>
      <c r="M23" s="512"/>
      <c r="N23" s="603"/>
      <c r="O23" s="513"/>
      <c r="P23" s="513"/>
      <c r="Q23" s="513"/>
      <c r="R23" s="513"/>
      <c r="S23" s="513"/>
      <c r="T23" s="513"/>
      <c r="U23" s="513">
        <v>65</v>
      </c>
      <c r="V23" s="513"/>
      <c r="W23" s="513"/>
      <c r="X23" s="513"/>
      <c r="Y23" s="513"/>
      <c r="Z23" s="513"/>
      <c r="AA23" s="513"/>
      <c r="AB23" s="513"/>
      <c r="AC23" s="514"/>
      <c r="AD23" s="515">
        <v>13</v>
      </c>
      <c r="AE23" s="341" t="s">
        <v>118</v>
      </c>
      <c r="AF23" s="80">
        <f t="shared" si="3"/>
        <v>0</v>
      </c>
      <c r="AH23" s="129"/>
    </row>
    <row r="24" spans="1:34" x14ac:dyDescent="0.25">
      <c r="A24" s="88">
        <v>45734</v>
      </c>
      <c r="B24" s="173" t="s">
        <v>191</v>
      </c>
      <c r="C24" s="128" t="s">
        <v>189</v>
      </c>
      <c r="D24" s="386">
        <v>752350749</v>
      </c>
      <c r="E24" s="590">
        <v>39.22</v>
      </c>
      <c r="F24" s="98">
        <v>45737</v>
      </c>
      <c r="G24" s="595"/>
      <c r="H24" s="596"/>
      <c r="I24" s="597"/>
      <c r="J24" s="597"/>
      <c r="K24" s="598"/>
      <c r="L24" s="599">
        <v>39.22</v>
      </c>
      <c r="M24" s="600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>
        <v>32.68</v>
      </c>
      <c r="Z24" s="597"/>
      <c r="AA24" s="597"/>
      <c r="AB24" s="597"/>
      <c r="AC24" s="601"/>
      <c r="AD24" s="602">
        <v>6.54</v>
      </c>
      <c r="AE24" s="341" t="s">
        <v>192</v>
      </c>
      <c r="AF24" s="80">
        <f t="shared" si="3"/>
        <v>0</v>
      </c>
      <c r="AH24" s="129"/>
    </row>
    <row r="25" spans="1:34" x14ac:dyDescent="0.25">
      <c r="A25" s="88">
        <v>45734</v>
      </c>
      <c r="B25" s="173" t="s">
        <v>42</v>
      </c>
      <c r="C25" s="128">
        <v>8805</v>
      </c>
      <c r="D25" s="332">
        <v>932384590</v>
      </c>
      <c r="E25" s="590">
        <v>169.8</v>
      </c>
      <c r="F25" s="98">
        <v>45737</v>
      </c>
      <c r="G25" s="535"/>
      <c r="H25" s="536"/>
      <c r="I25" s="513"/>
      <c r="J25" s="513"/>
      <c r="K25" s="537"/>
      <c r="L25" s="511">
        <v>169.8</v>
      </c>
      <c r="M25" s="512"/>
      <c r="N25" s="513"/>
      <c r="O25" s="513">
        <v>141.5</v>
      </c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4"/>
      <c r="AD25" s="515">
        <v>28.3</v>
      </c>
      <c r="AE25" s="341" t="s">
        <v>44</v>
      </c>
      <c r="AF25" s="80">
        <f t="shared" si="3"/>
        <v>0</v>
      </c>
      <c r="AH25" s="129"/>
    </row>
    <row r="26" spans="1:34" x14ac:dyDescent="0.25">
      <c r="A26" s="88">
        <v>45747</v>
      </c>
      <c r="B26" s="94" t="s">
        <v>193</v>
      </c>
      <c r="C26" s="125" t="s">
        <v>194</v>
      </c>
      <c r="D26" s="332">
        <v>31032025</v>
      </c>
      <c r="E26" s="590">
        <v>24902.5</v>
      </c>
      <c r="F26" s="98">
        <v>45747</v>
      </c>
      <c r="G26" s="535">
        <v>24902.5</v>
      </c>
      <c r="H26" s="536">
        <v>24902.5</v>
      </c>
      <c r="I26" s="513"/>
      <c r="J26" s="513"/>
      <c r="K26" s="537"/>
      <c r="L26" s="511"/>
      <c r="M26" s="512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4"/>
      <c r="AD26" s="515"/>
      <c r="AE26" s="390"/>
      <c r="AF26" s="80">
        <f t="shared" si="3"/>
        <v>0</v>
      </c>
      <c r="AH26" s="129"/>
    </row>
    <row r="27" spans="1:34" x14ac:dyDescent="0.25">
      <c r="A27" s="88">
        <v>45747</v>
      </c>
      <c r="B27" s="94" t="s">
        <v>193</v>
      </c>
      <c r="C27" s="125" t="s">
        <v>90</v>
      </c>
      <c r="D27" s="332">
        <v>31032025</v>
      </c>
      <c r="E27" s="590">
        <v>6</v>
      </c>
      <c r="F27" s="98">
        <v>45747</v>
      </c>
      <c r="G27" s="535"/>
      <c r="H27" s="536"/>
      <c r="I27" s="513"/>
      <c r="J27" s="513"/>
      <c r="K27" s="537"/>
      <c r="L27" s="511">
        <v>6</v>
      </c>
      <c r="M27" s="512"/>
      <c r="N27" s="513"/>
      <c r="O27" s="513"/>
      <c r="P27" s="513"/>
      <c r="Q27" s="513">
        <v>6</v>
      </c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4"/>
      <c r="AD27" s="515"/>
      <c r="AE27" s="341"/>
      <c r="AF27" s="80">
        <f t="shared" si="3"/>
        <v>0</v>
      </c>
      <c r="AH27" s="129"/>
    </row>
    <row r="28" spans="1:34" x14ac:dyDescent="0.25">
      <c r="A28" s="88">
        <v>45747</v>
      </c>
      <c r="B28" s="94" t="s">
        <v>195</v>
      </c>
      <c r="C28" s="128" t="s">
        <v>196</v>
      </c>
      <c r="D28" s="389" t="s">
        <v>197</v>
      </c>
      <c r="E28" s="121"/>
      <c r="F28" s="98"/>
      <c r="G28" s="535"/>
      <c r="H28" s="536"/>
      <c r="I28" s="513"/>
      <c r="J28" s="513"/>
      <c r="K28" s="537"/>
      <c r="L28" s="511">
        <v>-50</v>
      </c>
      <c r="M28" s="512"/>
      <c r="N28" s="513"/>
      <c r="O28" s="513"/>
      <c r="P28" s="513"/>
      <c r="Q28" s="513"/>
      <c r="R28" s="513"/>
      <c r="S28" s="513"/>
      <c r="T28" s="513"/>
      <c r="U28" s="513"/>
      <c r="V28" s="513">
        <v>-50</v>
      </c>
      <c r="W28" s="513"/>
      <c r="X28" s="513"/>
      <c r="Y28" s="513"/>
      <c r="Z28" s="513"/>
      <c r="AA28" s="513"/>
      <c r="AB28" s="513"/>
      <c r="AC28" s="514"/>
      <c r="AD28" s="515"/>
      <c r="AE28" s="97"/>
      <c r="AF28" s="80">
        <f t="shared" si="1"/>
        <v>0</v>
      </c>
      <c r="AH28" s="129"/>
    </row>
    <row r="29" spans="1:34" x14ac:dyDescent="0.25">
      <c r="A29" s="101"/>
      <c r="B29" s="94"/>
      <c r="C29" s="88"/>
      <c r="D29" s="90"/>
      <c r="E29" s="121"/>
      <c r="F29" s="126"/>
      <c r="G29" s="95"/>
      <c r="H29" s="92"/>
      <c r="I29" s="93"/>
      <c r="J29" s="93"/>
      <c r="K29" s="94"/>
      <c r="L29" s="95"/>
      <c r="M29" s="96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240"/>
      <c r="AD29" s="97"/>
      <c r="AE29" s="97"/>
      <c r="AF29" s="80">
        <f t="shared" si="1"/>
        <v>0</v>
      </c>
      <c r="AH29" s="129"/>
    </row>
    <row r="30" spans="1:34" x14ac:dyDescent="0.25">
      <c r="A30" s="165">
        <v>43190</v>
      </c>
      <c r="B30" s="143" t="s">
        <v>198</v>
      </c>
      <c r="C30" s="144"/>
      <c r="D30" s="145"/>
      <c r="E30" s="167"/>
      <c r="F30" s="145"/>
      <c r="G30" s="148">
        <f t="shared" ref="G30:AD30" si="4">SUM(G5:G29)</f>
        <v>114344.67000000001</v>
      </c>
      <c r="H30" s="157">
        <f t="shared" si="4"/>
        <v>47682.5</v>
      </c>
      <c r="I30" s="176">
        <f t="shared" si="4"/>
        <v>0</v>
      </c>
      <c r="J30" s="51">
        <f>SUM(J5:J29)</f>
        <v>4351.1000000000004</v>
      </c>
      <c r="K30" s="177">
        <f t="shared" si="4"/>
        <v>3894.18</v>
      </c>
      <c r="L30" s="50">
        <f t="shared" si="4"/>
        <v>57542.7</v>
      </c>
      <c r="M30" s="148">
        <f t="shared" si="4"/>
        <v>19982.509999999995</v>
      </c>
      <c r="N30" s="51">
        <f t="shared" si="4"/>
        <v>4875.0500000000011</v>
      </c>
      <c r="O30" s="176">
        <f t="shared" si="4"/>
        <v>13846.54</v>
      </c>
      <c r="P30" s="51">
        <f t="shared" si="4"/>
        <v>3100</v>
      </c>
      <c r="Q30" s="51">
        <f t="shared" si="4"/>
        <v>71.400000000000006</v>
      </c>
      <c r="R30" s="176">
        <f t="shared" si="4"/>
        <v>635</v>
      </c>
      <c r="S30" s="51">
        <f t="shared" si="4"/>
        <v>790.17</v>
      </c>
      <c r="T30" s="51">
        <f t="shared" si="4"/>
        <v>1080.72</v>
      </c>
      <c r="U30" s="51">
        <f t="shared" si="4"/>
        <v>300</v>
      </c>
      <c r="V30" s="176">
        <f t="shared" si="4"/>
        <v>1777.42</v>
      </c>
      <c r="W30" s="51">
        <f t="shared" si="4"/>
        <v>3000</v>
      </c>
      <c r="X30" s="176">
        <f t="shared" si="4"/>
        <v>0</v>
      </c>
      <c r="Y30" s="51">
        <f t="shared" si="4"/>
        <v>32.68</v>
      </c>
      <c r="Z30" s="176">
        <f t="shared" si="4"/>
        <v>1567.21</v>
      </c>
      <c r="AA30" s="51">
        <f t="shared" si="4"/>
        <v>219.89999999999998</v>
      </c>
      <c r="AB30" s="176">
        <f t="shared" si="4"/>
        <v>2000</v>
      </c>
      <c r="AC30" s="241">
        <f t="shared" si="4"/>
        <v>0</v>
      </c>
      <c r="AD30" s="150">
        <f t="shared" si="4"/>
        <v>4264.1000000000004</v>
      </c>
      <c r="AE30" s="150"/>
      <c r="AF30" s="80">
        <f t="shared" si="1"/>
        <v>0</v>
      </c>
      <c r="AH30" s="51">
        <f>SUM(AH5:AH29)</f>
        <v>6360</v>
      </c>
    </row>
    <row r="31" spans="1:34" ht="15.75" thickBot="1" x14ac:dyDescent="0.3">
      <c r="A31" s="102">
        <v>43190</v>
      </c>
      <c r="B31" s="23" t="s">
        <v>199</v>
      </c>
      <c r="C31" s="53"/>
      <c r="D31" s="54"/>
      <c r="E31" s="103"/>
      <c r="F31" s="54"/>
      <c r="G31" s="57">
        <f t="shared" ref="G31:AB31" si="5">SUM(G7:G29)</f>
        <v>24902.5</v>
      </c>
      <c r="H31" s="158">
        <f t="shared" si="5"/>
        <v>24902.5</v>
      </c>
      <c r="I31" s="159">
        <f t="shared" si="5"/>
        <v>0</v>
      </c>
      <c r="J31" s="159">
        <f>SUM(J6:J29)</f>
        <v>93.6</v>
      </c>
      <c r="K31" s="178">
        <f t="shared" si="5"/>
        <v>0</v>
      </c>
      <c r="L31" s="58">
        <f t="shared" si="5"/>
        <v>6884.3300000000008</v>
      </c>
      <c r="M31" s="158">
        <f t="shared" si="5"/>
        <v>4991.3100000000004</v>
      </c>
      <c r="N31" s="159">
        <f t="shared" si="5"/>
        <v>278.10000000000002</v>
      </c>
      <c r="O31" s="159">
        <f t="shared" si="5"/>
        <v>636.5</v>
      </c>
      <c r="P31" s="159">
        <f t="shared" si="5"/>
        <v>0</v>
      </c>
      <c r="Q31" s="159">
        <f t="shared" si="5"/>
        <v>18</v>
      </c>
      <c r="R31" s="159">
        <f t="shared" si="5"/>
        <v>0</v>
      </c>
      <c r="S31" s="159">
        <f t="shared" si="5"/>
        <v>0</v>
      </c>
      <c r="T31" s="159">
        <f t="shared" si="5"/>
        <v>610.23</v>
      </c>
      <c r="U31" s="159">
        <f t="shared" si="5"/>
        <v>65</v>
      </c>
      <c r="V31" s="159">
        <f t="shared" si="5"/>
        <v>-42.08</v>
      </c>
      <c r="W31" s="159">
        <f t="shared" si="5"/>
        <v>0</v>
      </c>
      <c r="X31" s="159">
        <f t="shared" si="5"/>
        <v>0</v>
      </c>
      <c r="Y31" s="159">
        <f t="shared" si="5"/>
        <v>32.68</v>
      </c>
      <c r="Z31" s="159">
        <f t="shared" si="5"/>
        <v>0</v>
      </c>
      <c r="AA31" s="159">
        <f t="shared" si="5"/>
        <v>0</v>
      </c>
      <c r="AB31" s="159">
        <f t="shared" si="5"/>
        <v>0</v>
      </c>
      <c r="AC31" s="242"/>
      <c r="AD31" s="180">
        <f>SUM(AD7:AD29)</f>
        <v>294.59000000000003</v>
      </c>
      <c r="AE31" s="164"/>
      <c r="AF31" s="80">
        <f t="shared" si="1"/>
        <v>0</v>
      </c>
      <c r="AH31" s="155">
        <f>SUM(AH7:AH29)</f>
        <v>9.5</v>
      </c>
    </row>
    <row r="32" spans="1:34" ht="15.75" thickBot="1" x14ac:dyDescent="0.3">
      <c r="A32" s="104">
        <v>43190</v>
      </c>
      <c r="B32" s="61" t="s">
        <v>200</v>
      </c>
      <c r="C32" s="62"/>
      <c r="D32" s="63" t="s">
        <v>94</v>
      </c>
      <c r="E32" s="106"/>
      <c r="F32" s="63"/>
      <c r="G32" s="66">
        <f t="shared" ref="G32:AD32" si="6">+G5+G31</f>
        <v>114251.07</v>
      </c>
      <c r="H32" s="66">
        <f t="shared" si="6"/>
        <v>47682.5</v>
      </c>
      <c r="I32" s="68">
        <f t="shared" si="6"/>
        <v>0</v>
      </c>
      <c r="J32" s="68">
        <f t="shared" si="6"/>
        <v>4351.1000000000004</v>
      </c>
      <c r="K32" s="179">
        <f t="shared" si="6"/>
        <v>3894.18</v>
      </c>
      <c r="L32" s="69">
        <f t="shared" si="6"/>
        <v>57542.700000000004</v>
      </c>
      <c r="M32" s="66">
        <f t="shared" si="6"/>
        <v>19982.510000000002</v>
      </c>
      <c r="N32" s="68">
        <f>+N5+N31</f>
        <v>4875.0500000000011</v>
      </c>
      <c r="O32" s="68">
        <f t="shared" si="6"/>
        <v>13846.54</v>
      </c>
      <c r="P32" s="68">
        <f t="shared" si="6"/>
        <v>3100</v>
      </c>
      <c r="Q32" s="68">
        <f t="shared" si="6"/>
        <v>71.400000000000006</v>
      </c>
      <c r="R32" s="68">
        <f t="shared" si="6"/>
        <v>635</v>
      </c>
      <c r="S32" s="68">
        <f t="shared" si="6"/>
        <v>790.17</v>
      </c>
      <c r="T32" s="68">
        <f t="shared" si="6"/>
        <v>1080.72</v>
      </c>
      <c r="U32" s="68">
        <f t="shared" si="6"/>
        <v>300</v>
      </c>
      <c r="V32" s="68">
        <f t="shared" si="6"/>
        <v>1777.42</v>
      </c>
      <c r="W32" s="68">
        <f t="shared" si="6"/>
        <v>3000</v>
      </c>
      <c r="X32" s="68">
        <f t="shared" si="6"/>
        <v>0</v>
      </c>
      <c r="Y32" s="68">
        <f t="shared" si="6"/>
        <v>32.68</v>
      </c>
      <c r="Z32" s="68">
        <f t="shared" si="6"/>
        <v>1567.21</v>
      </c>
      <c r="AA32" s="68">
        <f t="shared" si="6"/>
        <v>219.89999999999998</v>
      </c>
      <c r="AB32" s="68">
        <f t="shared" si="6"/>
        <v>2000</v>
      </c>
      <c r="AC32" s="239">
        <f t="shared" si="6"/>
        <v>0</v>
      </c>
      <c r="AD32" s="70">
        <f t="shared" si="6"/>
        <v>4264.1000000000004</v>
      </c>
      <c r="AE32" s="70"/>
      <c r="AF32" s="80">
        <f t="shared" si="1"/>
        <v>0</v>
      </c>
      <c r="AH32" s="68">
        <f>+AH5+AH31</f>
        <v>6360</v>
      </c>
    </row>
    <row r="33" spans="1:36" ht="15.75" thickTop="1" x14ac:dyDescent="0.25">
      <c r="A33" s="107"/>
      <c r="B33" s="108"/>
      <c r="C33" s="127"/>
      <c r="D33" s="110"/>
      <c r="E33" s="108"/>
      <c r="F33" s="110"/>
      <c r="G33" s="108">
        <f t="shared" ref="G33:AC33" si="7">+G30-G32</f>
        <v>93.600000000005821</v>
      </c>
      <c r="H33" s="108">
        <f t="shared" si="7"/>
        <v>0</v>
      </c>
      <c r="I33" s="108">
        <f t="shared" si="7"/>
        <v>0</v>
      </c>
      <c r="J33" s="108">
        <f t="shared" si="7"/>
        <v>0</v>
      </c>
      <c r="K33" s="108">
        <f t="shared" si="7"/>
        <v>0</v>
      </c>
      <c r="L33" s="108">
        <f t="shared" si="7"/>
        <v>0</v>
      </c>
      <c r="M33" s="108">
        <f t="shared" si="7"/>
        <v>0</v>
      </c>
      <c r="N33" s="108">
        <f t="shared" si="7"/>
        <v>0</v>
      </c>
      <c r="O33" s="108">
        <f t="shared" si="7"/>
        <v>0</v>
      </c>
      <c r="P33" s="108">
        <f t="shared" si="7"/>
        <v>0</v>
      </c>
      <c r="Q33" s="108">
        <f t="shared" si="7"/>
        <v>0</v>
      </c>
      <c r="R33" s="108">
        <f t="shared" si="7"/>
        <v>0</v>
      </c>
      <c r="S33" s="108">
        <f t="shared" si="7"/>
        <v>0</v>
      </c>
      <c r="T33" s="108"/>
      <c r="U33" s="108"/>
      <c r="V33" s="108">
        <f t="shared" si="7"/>
        <v>0</v>
      </c>
      <c r="W33" s="108">
        <f t="shared" si="7"/>
        <v>0</v>
      </c>
      <c r="X33" s="108">
        <f t="shared" si="7"/>
        <v>0</v>
      </c>
      <c r="Y33" s="108">
        <f t="shared" si="7"/>
        <v>0</v>
      </c>
      <c r="Z33" s="108">
        <f t="shared" si="7"/>
        <v>0</v>
      </c>
      <c r="AA33" s="108">
        <f t="shared" si="7"/>
        <v>0</v>
      </c>
      <c r="AB33" s="108">
        <f t="shared" si="7"/>
        <v>0</v>
      </c>
      <c r="AC33" s="108">
        <f t="shared" si="7"/>
        <v>0</v>
      </c>
      <c r="AD33" s="108">
        <f t="shared" ref="AD33" si="8">+AD30-AD32</f>
        <v>0</v>
      </c>
    </row>
    <row r="34" spans="1:36" s="111" customFormat="1" x14ac:dyDescent="0.25">
      <c r="A34" s="570"/>
      <c r="B34" s="570"/>
      <c r="C34" s="604"/>
      <c r="D34" s="570"/>
      <c r="E34" s="570"/>
      <c r="F34" s="570"/>
      <c r="G34" s="556" t="s">
        <v>135</v>
      </c>
      <c r="H34" s="558">
        <f>SUM(H32:K32)</f>
        <v>55927.78</v>
      </c>
      <c r="I34" s="558"/>
      <c r="J34" s="558"/>
      <c r="K34" s="558"/>
      <c r="L34" s="556" t="s">
        <v>167</v>
      </c>
      <c r="M34" s="558">
        <f>SUM(M32:AD32)</f>
        <v>57542.700000000004</v>
      </c>
      <c r="N34" s="605" t="s">
        <v>201</v>
      </c>
      <c r="O34" s="558">
        <f>M34-L32</f>
        <v>0</v>
      </c>
      <c r="P34" s="558"/>
      <c r="Q34" s="558"/>
      <c r="R34" s="558"/>
      <c r="S34" s="558"/>
      <c r="T34" s="558"/>
      <c r="U34" s="558"/>
      <c r="V34" s="558"/>
      <c r="W34" s="558"/>
      <c r="X34" s="558"/>
      <c r="Y34" s="558"/>
      <c r="Z34" s="558"/>
      <c r="AA34" s="558"/>
      <c r="AB34" s="558"/>
      <c r="AC34" s="558"/>
      <c r="AD34" s="558"/>
      <c r="AE34" s="560"/>
      <c r="AF34" s="570"/>
      <c r="AG34" s="570"/>
      <c r="AH34" s="570"/>
      <c r="AI34" s="570"/>
      <c r="AJ34" s="570"/>
    </row>
    <row r="35" spans="1:36" x14ac:dyDescent="0.25">
      <c r="A35" s="556"/>
      <c r="B35" s="582"/>
      <c r="C35" s="606"/>
      <c r="D35" s="556"/>
      <c r="E35" s="556"/>
      <c r="F35" s="556"/>
      <c r="G35" s="556"/>
      <c r="H35" s="560"/>
      <c r="I35" s="560"/>
      <c r="J35" s="560"/>
      <c r="K35" s="560"/>
      <c r="L35" s="556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0"/>
    </row>
    <row r="36" spans="1:36" x14ac:dyDescent="0.25">
      <c r="A36" s="556"/>
      <c r="B36" s="556" t="s">
        <v>97</v>
      </c>
      <c r="C36" s="606"/>
      <c r="D36" s="556"/>
      <c r="E36" s="556"/>
      <c r="F36" s="556"/>
      <c r="G36" s="556">
        <f>'Apr - Jun 2024'!G43</f>
        <v>60871.39</v>
      </c>
      <c r="H36" s="560"/>
      <c r="I36" s="560" t="s">
        <v>202</v>
      </c>
      <c r="J36" s="560"/>
      <c r="K36" s="560"/>
      <c r="L36" s="572">
        <v>59256.47</v>
      </c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</row>
    <row r="37" spans="1:36" x14ac:dyDescent="0.25">
      <c r="A37" s="556"/>
      <c r="B37" s="582" t="s">
        <v>203</v>
      </c>
      <c r="C37" s="606"/>
      <c r="D37" s="556"/>
      <c r="E37" s="556"/>
      <c r="F37" s="556"/>
      <c r="G37" s="607">
        <f>H34</f>
        <v>55927.78</v>
      </c>
      <c r="H37" s="560"/>
      <c r="I37" s="574" t="s">
        <v>100</v>
      </c>
      <c r="J37" s="560"/>
      <c r="K37" s="560"/>
      <c r="L37" s="608">
        <v>0</v>
      </c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</row>
    <row r="38" spans="1:36" x14ac:dyDescent="0.25">
      <c r="A38" s="560"/>
      <c r="B38" s="582"/>
      <c r="C38" s="606"/>
      <c r="D38" s="560"/>
      <c r="E38" s="560"/>
      <c r="F38" s="560"/>
      <c r="G38" s="570">
        <f>SUM(G36:G37)</f>
        <v>116799.17</v>
      </c>
      <c r="H38" s="560"/>
      <c r="I38" s="563"/>
      <c r="J38" s="560"/>
      <c r="K38" s="560"/>
      <c r="L38" s="570">
        <f>SUM(L36:L37)</f>
        <v>59256.47</v>
      </c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</row>
    <row r="39" spans="1:36" x14ac:dyDescent="0.25">
      <c r="A39" s="560"/>
      <c r="B39" s="582" t="s">
        <v>204</v>
      </c>
      <c r="C39" s="606"/>
      <c r="D39" s="560"/>
      <c r="E39" s="560"/>
      <c r="F39" s="560"/>
      <c r="G39" s="560">
        <f>M34</f>
        <v>57542.700000000004</v>
      </c>
      <c r="H39" s="560"/>
      <c r="I39" s="560" t="s">
        <v>102</v>
      </c>
      <c r="J39" s="560"/>
      <c r="K39" s="560"/>
      <c r="L39" s="609"/>
      <c r="M39" s="609"/>
      <c r="N39" s="560"/>
      <c r="O39" s="560"/>
      <c r="P39" s="560"/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</row>
    <row r="40" spans="1:36" x14ac:dyDescent="0.25">
      <c r="A40" s="560"/>
      <c r="B40" s="556" t="s">
        <v>205</v>
      </c>
      <c r="C40" s="606"/>
      <c r="D40" s="560"/>
      <c r="E40" s="560"/>
      <c r="F40" s="560"/>
      <c r="G40" s="610">
        <f>G38-G39</f>
        <v>59256.469999999994</v>
      </c>
      <c r="H40" s="560"/>
      <c r="I40" s="560"/>
      <c r="J40" s="560"/>
      <c r="K40" s="560"/>
      <c r="L40" s="610">
        <f>L38-L39</f>
        <v>59256.47</v>
      </c>
      <c r="M40" s="570" t="s">
        <v>206</v>
      </c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  <c r="Y40" s="560"/>
      <c r="Z40" s="560"/>
      <c r="AA40" s="560"/>
      <c r="AB40" s="560"/>
      <c r="AC40" s="560"/>
      <c r="AD40" s="560"/>
      <c r="AE40" s="560"/>
      <c r="AF40" s="560"/>
      <c r="AG40" s="560"/>
      <c r="AH40" s="560"/>
      <c r="AI40" s="560"/>
      <c r="AJ40" s="560"/>
    </row>
    <row r="41" spans="1:36" ht="15.75" thickTop="1" x14ac:dyDescent="0.25">
      <c r="A41" s="560"/>
      <c r="B41" s="582"/>
      <c r="C41" s="606"/>
      <c r="D41" s="560"/>
      <c r="E41" s="560"/>
      <c r="F41" s="560"/>
      <c r="G41" s="560"/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  <c r="AB41" s="560"/>
      <c r="AC41" s="560"/>
      <c r="AD41" s="560"/>
      <c r="AE41" s="560"/>
      <c r="AF41" s="560"/>
      <c r="AG41" s="560"/>
      <c r="AH41" s="560"/>
      <c r="AI41" s="560"/>
      <c r="AJ41" s="560"/>
    </row>
    <row r="42" spans="1:36" x14ac:dyDescent="0.25">
      <c r="A42" s="560"/>
      <c r="B42" s="560"/>
      <c r="C42" s="563"/>
      <c r="D42" s="560"/>
      <c r="E42" s="560"/>
      <c r="F42" s="560"/>
      <c r="G42" s="560"/>
      <c r="H42" s="560"/>
      <c r="I42" s="560"/>
      <c r="J42" s="560"/>
      <c r="K42" s="560"/>
      <c r="L42" s="570">
        <f>L40-G40</f>
        <v>0</v>
      </c>
      <c r="M42" s="560" t="s">
        <v>107</v>
      </c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</row>
    <row r="43" spans="1:36" x14ac:dyDescent="0.25">
      <c r="A43" s="560"/>
      <c r="B43" s="560"/>
      <c r="C43" s="563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</row>
    <row r="44" spans="1:36" x14ac:dyDescent="0.25">
      <c r="A44" s="560"/>
      <c r="B44" s="560"/>
      <c r="C44" s="563"/>
      <c r="D44" s="560"/>
      <c r="E44" s="560"/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0"/>
      <c r="X44" s="560"/>
      <c r="Y44" s="560"/>
      <c r="Z44" s="560"/>
      <c r="AA44" s="560"/>
      <c r="AB44" s="560"/>
      <c r="AC44" s="560"/>
      <c r="AD44" s="560"/>
      <c r="AE44" s="560"/>
      <c r="AF44" s="560"/>
      <c r="AG44" s="560"/>
      <c r="AH44" s="560"/>
      <c r="AI44" s="560"/>
      <c r="AJ44" s="560"/>
    </row>
    <row r="45" spans="1:36" x14ac:dyDescent="0.25">
      <c r="A45" s="560"/>
      <c r="B45" s="560"/>
      <c r="C45" s="563"/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  <c r="Y45" s="560"/>
      <c r="Z45" s="560"/>
      <c r="AA45" s="560"/>
      <c r="AB45" s="560"/>
      <c r="AC45" s="560"/>
      <c r="AD45" s="560"/>
      <c r="AE45" s="560"/>
      <c r="AF45" s="560"/>
      <c r="AG45" s="560"/>
      <c r="AH45" s="560"/>
      <c r="AI45" s="560"/>
      <c r="AJ45" s="560"/>
    </row>
    <row r="48" spans="1:36" x14ac:dyDescent="0.25">
      <c r="J48" s="378"/>
    </row>
    <row r="49" spans="10:10" x14ac:dyDescent="0.25">
      <c r="J49" s="378"/>
    </row>
    <row r="50" spans="10:10" x14ac:dyDescent="0.25">
      <c r="J50" s="378"/>
    </row>
    <row r="51" spans="10:10" x14ac:dyDescent="0.25">
      <c r="J51" s="378"/>
    </row>
    <row r="52" spans="10:10" x14ac:dyDescent="0.25">
      <c r="J52" s="378"/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24"/>
  <sheetViews>
    <sheetView zoomScale="80" zoomScaleNormal="80" workbookViewId="0">
      <selection activeCell="A19" sqref="A19"/>
    </sheetView>
  </sheetViews>
  <sheetFormatPr defaultRowHeight="15" x14ac:dyDescent="0.25"/>
  <cols>
    <col min="1" max="1" width="10.7109375" style="83" customWidth="1"/>
    <col min="2" max="2" width="13.7109375" style="83" customWidth="1"/>
    <col min="3" max="3" width="16.5703125" style="83" customWidth="1"/>
    <col min="4" max="4" width="20.5703125" style="83" customWidth="1"/>
    <col min="5" max="5" width="15.5703125" style="83" customWidth="1"/>
    <col min="6" max="6" width="20" style="83" customWidth="1"/>
    <col min="7" max="7" width="15.140625" style="320" bestFit="1" customWidth="1"/>
    <col min="8" max="1025" width="10.7109375" style="83" customWidth="1"/>
  </cols>
  <sheetData>
    <row r="1" spans="1:8" x14ac:dyDescent="0.25">
      <c r="A1" s="111" t="s">
        <v>207</v>
      </c>
    </row>
    <row r="3" spans="1:8" x14ac:dyDescent="0.25">
      <c r="A3" s="111" t="s">
        <v>208</v>
      </c>
    </row>
    <row r="5" spans="1:8" x14ac:dyDescent="0.25">
      <c r="A5" s="80" t="s">
        <v>209</v>
      </c>
      <c r="B5" s="81"/>
      <c r="C5" s="82"/>
      <c r="E5" s="80" t="s">
        <v>210</v>
      </c>
      <c r="G5" s="611">
        <v>59256.47</v>
      </c>
    </row>
    <row r="6" spans="1:8" x14ac:dyDescent="0.25">
      <c r="A6" s="80"/>
      <c r="B6" s="81"/>
      <c r="C6" s="82"/>
      <c r="D6" s="80"/>
      <c r="G6" s="319"/>
    </row>
    <row r="7" spans="1:8" x14ac:dyDescent="0.25">
      <c r="A7" s="80" t="s">
        <v>211</v>
      </c>
      <c r="B7" s="81"/>
      <c r="C7" s="82"/>
      <c r="D7" s="80"/>
      <c r="G7" s="612"/>
    </row>
    <row r="8" spans="1:8" x14ac:dyDescent="0.25">
      <c r="A8" s="80"/>
      <c r="B8" s="81"/>
      <c r="C8" s="82"/>
      <c r="D8" s="80"/>
      <c r="G8" s="319">
        <f>SUM(G5:G7)</f>
        <v>59256.47</v>
      </c>
    </row>
    <row r="9" spans="1:8" x14ac:dyDescent="0.25">
      <c r="A9" s="80" t="s">
        <v>102</v>
      </c>
      <c r="B9" s="80"/>
      <c r="C9" s="80" t="s">
        <v>212</v>
      </c>
      <c r="D9" s="80"/>
    </row>
    <row r="10" spans="1:8" ht="25.9" customHeight="1" x14ac:dyDescent="0.25">
      <c r="A10" s="120" t="s">
        <v>213</v>
      </c>
      <c r="B10" s="80"/>
      <c r="C10" s="80"/>
      <c r="D10" s="80"/>
      <c r="G10" s="321">
        <f>G8-G9</f>
        <v>59256.47</v>
      </c>
      <c r="H10" s="83" t="s">
        <v>214</v>
      </c>
    </row>
    <row r="11" spans="1:8" ht="25.9" customHeight="1" x14ac:dyDescent="0.25">
      <c r="A11" s="120"/>
      <c r="B11" s="80"/>
      <c r="C11" s="80"/>
      <c r="D11" s="80"/>
      <c r="G11" s="319"/>
    </row>
    <row r="12" spans="1:8" ht="25.9" customHeight="1" x14ac:dyDescent="0.25">
      <c r="A12" s="120" t="s">
        <v>215</v>
      </c>
      <c r="B12" s="80"/>
      <c r="C12" s="80"/>
      <c r="D12" s="80"/>
      <c r="G12" s="319"/>
    </row>
    <row r="14" spans="1:8" ht="46.5" customHeight="1" x14ac:dyDescent="0.25">
      <c r="A14" s="623" t="s">
        <v>216</v>
      </c>
      <c r="B14" s="623"/>
      <c r="C14" s="623"/>
      <c r="G14" s="317">
        <f>'Apr - Jun 2024'!G5</f>
        <v>60871.39</v>
      </c>
    </row>
    <row r="15" spans="1:8" x14ac:dyDescent="0.25">
      <c r="A15" s="115" t="s">
        <v>217</v>
      </c>
      <c r="B15" s="116"/>
      <c r="C15" s="110"/>
      <c r="G15" s="613">
        <f>'Jan - March 2025'!H34</f>
        <v>55927.78</v>
      </c>
    </row>
    <row r="16" spans="1:8" x14ac:dyDescent="0.25">
      <c r="A16" s="115"/>
      <c r="B16" s="116"/>
      <c r="C16" s="82"/>
      <c r="G16" s="319">
        <f>SUM(G14:G15)</f>
        <v>116799.17</v>
      </c>
    </row>
    <row r="17" spans="1:7" x14ac:dyDescent="0.25">
      <c r="A17" s="115" t="s">
        <v>218</v>
      </c>
      <c r="B17" s="116"/>
      <c r="C17" s="82"/>
      <c r="G17" s="320">
        <f>'Jan - March 2025'!M34</f>
        <v>57542.700000000004</v>
      </c>
    </row>
    <row r="18" spans="1:7" ht="24" customHeight="1" x14ac:dyDescent="0.25">
      <c r="A18" s="623" t="s">
        <v>219</v>
      </c>
      <c r="B18" s="623"/>
      <c r="C18" s="623"/>
      <c r="G18" s="321">
        <f>G16-G17</f>
        <v>59256.469999999994</v>
      </c>
    </row>
    <row r="19" spans="1:7" x14ac:dyDescent="0.25">
      <c r="G19" s="317"/>
    </row>
    <row r="20" spans="1:7" x14ac:dyDescent="0.25">
      <c r="A20" s="83" t="s">
        <v>220</v>
      </c>
      <c r="G20" s="614"/>
    </row>
    <row r="22" spans="1:7" ht="15.75" thickBot="1" x14ac:dyDescent="0.3">
      <c r="G22" s="615">
        <f>SUM(G20:G21)</f>
        <v>0</v>
      </c>
    </row>
    <row r="23" spans="1:7" ht="15.75" thickTop="1" x14ac:dyDescent="0.25"/>
    <row r="24" spans="1:7" x14ac:dyDescent="0.25">
      <c r="F24" s="83" t="s">
        <v>221</v>
      </c>
      <c r="G24" s="320">
        <f>+G10-G18-G22</f>
        <v>7.2759576141834259E-12</v>
      </c>
    </row>
  </sheetData>
  <mergeCells count="2">
    <mergeCell ref="A14:C14"/>
    <mergeCell ref="A18:C18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C189-6828-4EFE-9B8B-D2E9A0AA98E7}">
  <sheetPr>
    <pageSetUpPr fitToPage="1"/>
  </sheetPr>
  <dimension ref="B2:N124"/>
  <sheetViews>
    <sheetView topLeftCell="A28" workbookViewId="0">
      <selection activeCell="G56" sqref="G56"/>
    </sheetView>
  </sheetViews>
  <sheetFormatPr defaultRowHeight="15" x14ac:dyDescent="0.25"/>
  <cols>
    <col min="2" max="2" width="42.28515625" bestFit="1" customWidth="1"/>
    <col min="3" max="4" width="15.7109375" customWidth="1"/>
    <col min="5" max="5" width="7.7109375" style="357" bestFit="1" customWidth="1"/>
    <col min="6" max="6" width="15.7109375" customWidth="1"/>
    <col min="7" max="7" width="70.85546875" style="268" customWidth="1"/>
    <col min="8" max="8" width="10.5703125" bestFit="1" customWidth="1"/>
  </cols>
  <sheetData>
    <row r="2" spans="2:14" ht="45" x14ac:dyDescent="0.25">
      <c r="B2" s="291" t="s">
        <v>222</v>
      </c>
      <c r="C2" s="344" t="s">
        <v>223</v>
      </c>
      <c r="D2" s="393" t="s">
        <v>224</v>
      </c>
      <c r="E2" s="360" t="s">
        <v>225</v>
      </c>
      <c r="F2" s="362" t="s">
        <v>226</v>
      </c>
    </row>
    <row r="4" spans="2:14" x14ac:dyDescent="0.25">
      <c r="B4" s="292" t="s">
        <v>227</v>
      </c>
      <c r="C4" s="290"/>
      <c r="D4" s="290"/>
      <c r="F4" s="290"/>
    </row>
    <row r="5" spans="2:14" x14ac:dyDescent="0.25">
      <c r="B5" s="292" t="s">
        <v>13</v>
      </c>
      <c r="C5" s="290">
        <f>+'Budget Sheet'!I7</f>
        <v>45560</v>
      </c>
      <c r="D5" s="290">
        <f>22780+22780</f>
        <v>45560</v>
      </c>
      <c r="E5" s="357">
        <f>+D5/C5</f>
        <v>1</v>
      </c>
      <c r="F5" s="290">
        <f>+C5-D5</f>
        <v>0</v>
      </c>
      <c r="G5" s="268" t="s">
        <v>228</v>
      </c>
    </row>
    <row r="6" spans="2:14" x14ac:dyDescent="0.25">
      <c r="B6" s="292" t="s">
        <v>229</v>
      </c>
      <c r="C6" s="290">
        <f>+'Budget Sheet'!I8</f>
        <v>2364</v>
      </c>
      <c r="D6" s="290">
        <v>2364</v>
      </c>
      <c r="E6" s="357">
        <f>+D6/C6</f>
        <v>1</v>
      </c>
      <c r="F6" s="290">
        <f t="shared" ref="F6:F9" si="0">+C6-D6</f>
        <v>0</v>
      </c>
      <c r="G6" s="268" t="s">
        <v>230</v>
      </c>
    </row>
    <row r="7" spans="2:14" x14ac:dyDescent="0.25">
      <c r="B7" s="292" t="s">
        <v>231</v>
      </c>
      <c r="C7" s="290">
        <f>+'Budget Sheet'!I9</f>
        <v>1322.5</v>
      </c>
      <c r="D7" s="290">
        <f>+'Apr - Jun 2024'!J13</f>
        <v>1322.5</v>
      </c>
      <c r="E7" s="357">
        <f>+D7/C7</f>
        <v>1</v>
      </c>
      <c r="F7" s="290">
        <f t="shared" si="0"/>
        <v>0</v>
      </c>
    </row>
    <row r="8" spans="2:14" s="268" customFormat="1" x14ac:dyDescent="0.25">
      <c r="B8" s="292" t="s">
        <v>16</v>
      </c>
      <c r="C8" s="290">
        <v>0</v>
      </c>
      <c r="D8" s="290">
        <v>0</v>
      </c>
      <c r="E8" s="357"/>
      <c r="F8" s="290">
        <f t="shared" si="0"/>
        <v>0</v>
      </c>
      <c r="H8"/>
      <c r="I8"/>
      <c r="J8"/>
      <c r="K8"/>
      <c r="L8"/>
      <c r="M8"/>
      <c r="N8"/>
    </row>
    <row r="9" spans="2:14" s="268" customFormat="1" ht="15.75" thickBot="1" x14ac:dyDescent="0.3">
      <c r="B9" s="292" t="s">
        <v>15</v>
      </c>
      <c r="C9" s="290">
        <f>+'Budget Sheet'!I12</f>
        <v>271.5</v>
      </c>
      <c r="D9" s="290">
        <f>+'Apr - Jun 2024'!J25</f>
        <v>90.5</v>
      </c>
      <c r="E9" s="357"/>
      <c r="F9" s="290">
        <f t="shared" si="0"/>
        <v>181</v>
      </c>
      <c r="G9" s="268" t="s">
        <v>232</v>
      </c>
      <c r="H9"/>
      <c r="I9"/>
      <c r="J9"/>
      <c r="K9"/>
      <c r="L9"/>
      <c r="M9"/>
      <c r="N9"/>
    </row>
    <row r="10" spans="2:14" s="268" customFormat="1" x14ac:dyDescent="0.25">
      <c r="B10" s="293" t="s">
        <v>233</v>
      </c>
      <c r="C10" s="295">
        <f>SUM(C5:C9)</f>
        <v>49518</v>
      </c>
      <c r="D10" s="295">
        <f>SUM(D5:D9)</f>
        <v>49337</v>
      </c>
      <c r="E10" s="358">
        <f>+D10/C10</f>
        <v>0.99634476352033607</v>
      </c>
      <c r="F10" s="295">
        <f>+C10-D10</f>
        <v>181</v>
      </c>
      <c r="G10" s="385"/>
      <c r="H10"/>
      <c r="I10"/>
      <c r="J10"/>
      <c r="K10"/>
      <c r="L10"/>
      <c r="M10"/>
      <c r="N10"/>
    </row>
    <row r="11" spans="2:14" s="268" customFormat="1" ht="16.5" thickTop="1" thickBot="1" x14ac:dyDescent="0.3">
      <c r="B11" s="292" t="s">
        <v>234</v>
      </c>
      <c r="C11" s="290">
        <f>+'Budget Sheet'!I14</f>
        <v>2436.4000000000015</v>
      </c>
      <c r="D11" s="290"/>
      <c r="E11" s="357"/>
      <c r="F11" s="290">
        <f>+C11-D11</f>
        <v>2436.4000000000015</v>
      </c>
      <c r="G11" s="268" t="s">
        <v>235</v>
      </c>
      <c r="H11"/>
      <c r="I11"/>
      <c r="J11"/>
      <c r="K11"/>
      <c r="L11"/>
      <c r="M11"/>
      <c r="N11"/>
    </row>
    <row r="12" spans="2:14" s="268" customFormat="1" ht="16.5" thickTop="1" thickBot="1" x14ac:dyDescent="0.3">
      <c r="B12" s="293" t="s">
        <v>236</v>
      </c>
      <c r="C12" s="295">
        <f>SUM(C10:C11)</f>
        <v>51954.400000000001</v>
      </c>
      <c r="D12" s="295">
        <f>SUM(D10:D11)</f>
        <v>49337</v>
      </c>
      <c r="E12" s="358">
        <f>+D12/C12</f>
        <v>0.94962120628859148</v>
      </c>
      <c r="F12" s="295">
        <f>+C12-D12</f>
        <v>2617.4000000000015</v>
      </c>
      <c r="G12" s="385"/>
      <c r="H12"/>
      <c r="I12"/>
      <c r="J12"/>
      <c r="K12"/>
      <c r="L12"/>
      <c r="M12"/>
      <c r="N12"/>
    </row>
    <row r="13" spans="2:14" s="268" customFormat="1" ht="15.75" thickTop="1" x14ac:dyDescent="0.25">
      <c r="B13" s="292"/>
      <c r="C13" s="290"/>
      <c r="D13" s="290"/>
      <c r="E13" s="357"/>
      <c r="F13" s="290"/>
      <c r="G13" s="385"/>
      <c r="H13"/>
      <c r="I13"/>
      <c r="J13"/>
      <c r="K13"/>
      <c r="L13"/>
      <c r="M13"/>
      <c r="N13"/>
    </row>
    <row r="14" spans="2:14" s="268" customFormat="1" x14ac:dyDescent="0.25">
      <c r="B14" s="292" t="s">
        <v>237</v>
      </c>
      <c r="C14" s="290"/>
      <c r="D14" s="290"/>
      <c r="E14" s="357"/>
      <c r="F14" s="290"/>
      <c r="H14"/>
      <c r="I14"/>
      <c r="J14"/>
      <c r="K14"/>
      <c r="L14"/>
      <c r="M14"/>
      <c r="N14"/>
    </row>
    <row r="15" spans="2:14" s="268" customFormat="1" x14ac:dyDescent="0.25">
      <c r="B15" s="296" t="s">
        <v>238</v>
      </c>
      <c r="C15" s="290">
        <f>+'Budget Sheet'!I20-C16-C17</f>
        <v>13780</v>
      </c>
      <c r="D15" s="290">
        <f>+'Apr - Jun 2024'!M6+'Apr - Jun 2024'!M22+'Apr - Jun 2024'!M27+'July - Sept 2024'!M8+'July - Sept 2024'!M16+'July - Sept 2024'!M25</f>
        <v>6422.86</v>
      </c>
      <c r="E15" s="357">
        <f>+D15/C15</f>
        <v>0.46610014513788095</v>
      </c>
      <c r="F15" s="290">
        <f t="shared" ref="F15:F17" si="1">+C15-D15</f>
        <v>7357.14</v>
      </c>
      <c r="G15" s="385"/>
      <c r="H15"/>
      <c r="I15"/>
      <c r="J15"/>
      <c r="K15"/>
      <c r="L15"/>
      <c r="M15"/>
      <c r="N15"/>
    </row>
    <row r="16" spans="2:14" s="268" customFormat="1" x14ac:dyDescent="0.25">
      <c r="B16" s="296" t="s">
        <v>239</v>
      </c>
      <c r="C16" s="290">
        <v>1195</v>
      </c>
      <c r="D16" s="290">
        <f>+'Apr - Jun 2024'!M7+'Apr - Jun 2024'!M23+'Apr - Jun 2024'!M28+'July - Sept 2024'!M9+'July - Sept 2024'!M17+'July - Sept 2024'!M26</f>
        <v>611.75</v>
      </c>
      <c r="E16" s="357">
        <f>+D16/C16</f>
        <v>0.51192468619246867</v>
      </c>
      <c r="F16" s="290">
        <f t="shared" si="1"/>
        <v>583.25</v>
      </c>
      <c r="G16" s="392"/>
      <c r="H16"/>
      <c r="I16"/>
      <c r="J16"/>
      <c r="K16"/>
      <c r="L16"/>
      <c r="M16"/>
      <c r="N16"/>
    </row>
    <row r="17" spans="2:14" s="268" customFormat="1" ht="15.75" thickBot="1" x14ac:dyDescent="0.3">
      <c r="B17" s="296" t="s">
        <v>240</v>
      </c>
      <c r="C17" s="290">
        <v>4525</v>
      </c>
      <c r="D17" s="290">
        <f>+'Apr - Jun 2024'!L8+'Apr - Jun 2024'!L24+'Apr - Jun 2024'!L29+'July - Sept 2024'!M10+'July - Sept 2024'!M18+'July - Sept 2024'!M27</f>
        <v>2583.6</v>
      </c>
      <c r="E17" s="357">
        <f>+D17/C17</f>
        <v>0.57096132596685079</v>
      </c>
      <c r="F17" s="290">
        <f t="shared" si="1"/>
        <v>1941.4</v>
      </c>
      <c r="H17"/>
      <c r="I17"/>
      <c r="J17"/>
      <c r="K17"/>
      <c r="L17"/>
      <c r="M17"/>
      <c r="N17"/>
    </row>
    <row r="18" spans="2:14" s="268" customFormat="1" ht="16.5" thickTop="1" thickBot="1" x14ac:dyDescent="0.3">
      <c r="B18" s="297" t="s">
        <v>241</v>
      </c>
      <c r="C18" s="295">
        <f>SUM(C15:C17)</f>
        <v>19500</v>
      </c>
      <c r="D18" s="295">
        <f>SUM(D15:D17)</f>
        <v>9618.2099999999991</v>
      </c>
      <c r="E18" s="358">
        <f>+D18/C18</f>
        <v>0.4932415384615384</v>
      </c>
      <c r="F18" s="295">
        <f>+C18-D18</f>
        <v>9881.7900000000009</v>
      </c>
      <c r="G18" s="268" t="s">
        <v>242</v>
      </c>
      <c r="H18"/>
      <c r="I18"/>
      <c r="J18"/>
      <c r="K18"/>
      <c r="L18"/>
      <c r="M18"/>
      <c r="N18"/>
    </row>
    <row r="19" spans="2:14" s="268" customFormat="1" ht="15.75" thickTop="1" x14ac:dyDescent="0.25">
      <c r="B19"/>
      <c r="C19" s="290"/>
      <c r="D19" s="290"/>
      <c r="E19" s="357"/>
      <c r="F19" s="290"/>
      <c r="H19"/>
      <c r="I19"/>
      <c r="J19" s="476"/>
      <c r="K19"/>
      <c r="L19"/>
      <c r="M19"/>
      <c r="N19"/>
    </row>
    <row r="20" spans="2:14" x14ac:dyDescent="0.25">
      <c r="B20" s="292" t="s">
        <v>243</v>
      </c>
      <c r="C20" s="290"/>
      <c r="D20" s="290"/>
      <c r="F20" s="290"/>
    </row>
    <row r="21" spans="2:14" x14ac:dyDescent="0.25">
      <c r="B21" s="296" t="s">
        <v>244</v>
      </c>
      <c r="C21" s="290">
        <v>630</v>
      </c>
      <c r="D21" s="290">
        <f>+'Apr - Jun 2024'!N6+'Apr - Jun 2024'!N7+'Apr - Jun 2024'!N22+'Apr - Jun 2024'!N23+'Apr - Jun 2024'!N27+'Apr - Jun 2024'!N28+'July - Sept 2024'!N8+'July - Sept 2024'!N16+'July - Sept 2024'!N25</f>
        <v>319.38</v>
      </c>
      <c r="E21" s="357">
        <f t="shared" ref="E21:E30" si="2">+D21/C21</f>
        <v>0.50695238095238093</v>
      </c>
      <c r="F21" s="290">
        <f t="shared" ref="F21:F29" si="3">+C21-D21</f>
        <v>310.62</v>
      </c>
      <c r="G21" s="296"/>
      <c r="H21" s="473"/>
    </row>
    <row r="22" spans="2:14" x14ac:dyDescent="0.25">
      <c r="B22" s="296" t="s">
        <v>245</v>
      </c>
      <c r="C22" s="290">
        <v>683</v>
      </c>
      <c r="D22" s="290">
        <f>+'Apr - Jun 2024'!N11</f>
        <v>660</v>
      </c>
      <c r="E22" s="357">
        <f t="shared" si="2"/>
        <v>0.96632503660322111</v>
      </c>
      <c r="F22" s="290">
        <f t="shared" si="3"/>
        <v>23</v>
      </c>
      <c r="G22" s="296" t="s">
        <v>246</v>
      </c>
      <c r="H22" s="473"/>
    </row>
    <row r="23" spans="2:14" x14ac:dyDescent="0.25">
      <c r="B23" s="296" t="s">
        <v>247</v>
      </c>
      <c r="C23" s="290">
        <v>3518</v>
      </c>
      <c r="D23" s="290">
        <f>+'July - Sept 2024'!N29</f>
        <v>3350</v>
      </c>
      <c r="E23" s="357">
        <f t="shared" si="2"/>
        <v>0.95224559408754972</v>
      </c>
      <c r="F23" s="290">
        <f t="shared" si="3"/>
        <v>168</v>
      </c>
      <c r="G23" s="296" t="s">
        <v>248</v>
      </c>
      <c r="H23" s="473"/>
      <c r="N23" s="76"/>
    </row>
    <row r="24" spans="2:14" x14ac:dyDescent="0.25">
      <c r="B24" s="296" t="s">
        <v>249</v>
      </c>
      <c r="C24" s="290">
        <v>60</v>
      </c>
      <c r="D24" s="290">
        <v>0</v>
      </c>
      <c r="E24" s="357">
        <f t="shared" si="2"/>
        <v>0</v>
      </c>
      <c r="F24" s="290">
        <f t="shared" si="3"/>
        <v>60</v>
      </c>
      <c r="G24" s="296"/>
      <c r="H24" s="473"/>
      <c r="N24" s="76"/>
    </row>
    <row r="25" spans="2:14" x14ac:dyDescent="0.25">
      <c r="B25" s="296" t="s">
        <v>250</v>
      </c>
      <c r="C25" s="290">
        <v>39.5</v>
      </c>
      <c r="D25" s="290">
        <v>0</v>
      </c>
      <c r="E25" s="357">
        <f t="shared" si="2"/>
        <v>0</v>
      </c>
      <c r="F25" s="290">
        <f t="shared" si="3"/>
        <v>39.5</v>
      </c>
      <c r="G25" s="296"/>
      <c r="H25" s="473"/>
      <c r="N25" s="76"/>
    </row>
    <row r="26" spans="2:14" x14ac:dyDescent="0.25">
      <c r="B26" s="296" t="s">
        <v>251</v>
      </c>
      <c r="C26" s="290">
        <v>450</v>
      </c>
      <c r="D26" s="290">
        <f>+'July - Sept 2024'!N15</f>
        <v>63.07</v>
      </c>
      <c r="E26" s="357">
        <f t="shared" si="2"/>
        <v>0.14015555555555556</v>
      </c>
      <c r="F26" s="290">
        <f t="shared" si="3"/>
        <v>386.93</v>
      </c>
      <c r="G26" s="296"/>
      <c r="H26" s="473"/>
      <c r="N26" s="76"/>
    </row>
    <row r="27" spans="2:14" x14ac:dyDescent="0.25">
      <c r="B27" s="296" t="s">
        <v>252</v>
      </c>
      <c r="C27" s="290">
        <v>0</v>
      </c>
      <c r="D27" s="290">
        <v>0</v>
      </c>
      <c r="E27" s="357">
        <v>0</v>
      </c>
      <c r="F27" s="290">
        <f t="shared" si="3"/>
        <v>0</v>
      </c>
      <c r="G27" s="296"/>
      <c r="H27" s="473"/>
      <c r="N27" s="76"/>
    </row>
    <row r="28" spans="2:14" x14ac:dyDescent="0.25">
      <c r="B28" s="296" t="s">
        <v>253</v>
      </c>
      <c r="C28" s="290">
        <v>119.5</v>
      </c>
      <c r="D28" s="290">
        <f>+'Oct - Dec 2024'!N37+'Jan - March 2025'!N10</f>
        <v>0</v>
      </c>
      <c r="E28" s="357">
        <f t="shared" si="2"/>
        <v>0</v>
      </c>
      <c r="F28" s="290">
        <f t="shared" si="3"/>
        <v>119.5</v>
      </c>
      <c r="G28" s="296"/>
      <c r="H28" s="473"/>
      <c r="N28" s="361"/>
    </row>
    <row r="29" spans="2:14" ht="15.75" thickBot="1" x14ac:dyDescent="0.3">
      <c r="B29" s="296" t="s">
        <v>254</v>
      </c>
      <c r="C29" s="290">
        <v>0</v>
      </c>
      <c r="D29" s="290">
        <v>0</v>
      </c>
      <c r="F29" s="290">
        <f t="shared" si="3"/>
        <v>0</v>
      </c>
      <c r="N29" s="76"/>
    </row>
    <row r="30" spans="2:14" ht="16.5" thickTop="1" thickBot="1" x14ac:dyDescent="0.3">
      <c r="B30" s="297" t="s">
        <v>255</v>
      </c>
      <c r="C30" s="295">
        <f>SUM(C21:C29)</f>
        <v>5500</v>
      </c>
      <c r="D30" s="295">
        <f>SUM(D21:D29)</f>
        <v>4392.45</v>
      </c>
      <c r="E30" s="358">
        <f t="shared" si="2"/>
        <v>0.79862727272727274</v>
      </c>
      <c r="F30" s="295">
        <f>+C30-D30</f>
        <v>1107.5500000000002</v>
      </c>
      <c r="H30" s="474"/>
      <c r="N30" s="76"/>
    </row>
    <row r="31" spans="2:14" ht="15.75" thickTop="1" x14ac:dyDescent="0.25">
      <c r="C31" s="290"/>
      <c r="D31" s="290"/>
      <c r="F31" s="290"/>
      <c r="J31" s="381"/>
      <c r="N31" s="76"/>
    </row>
    <row r="32" spans="2:14" x14ac:dyDescent="0.25">
      <c r="B32" s="292" t="s">
        <v>256</v>
      </c>
      <c r="C32" s="290"/>
      <c r="D32" s="290"/>
      <c r="F32" s="290"/>
      <c r="N32" s="76"/>
    </row>
    <row r="33" spans="2:14" x14ac:dyDescent="0.25">
      <c r="B33" s="298" t="s">
        <v>257</v>
      </c>
      <c r="C33" s="290">
        <v>2035</v>
      </c>
      <c r="D33" s="290">
        <v>678.33</v>
      </c>
      <c r="E33" s="357">
        <f t="shared" ref="E33:E40" si="4">+D33/C33</f>
        <v>0.33333169533169538</v>
      </c>
      <c r="F33" s="290">
        <f t="shared" ref="F33:F39" si="5">+C33-D33</f>
        <v>1356.67</v>
      </c>
      <c r="G33"/>
      <c r="H33" s="473"/>
      <c r="N33" s="76"/>
    </row>
    <row r="34" spans="2:14" x14ac:dyDescent="0.25">
      <c r="B34" s="298" t="s">
        <v>258</v>
      </c>
      <c r="C34" s="290">
        <v>6384</v>
      </c>
      <c r="D34" s="290">
        <v>2941.6</v>
      </c>
      <c r="E34" s="357">
        <f t="shared" si="4"/>
        <v>0.46077694235588973</v>
      </c>
      <c r="F34" s="290">
        <f t="shared" si="5"/>
        <v>3442.4</v>
      </c>
      <c r="G34"/>
      <c r="H34" s="473"/>
      <c r="I34" s="381"/>
      <c r="N34" s="76"/>
    </row>
    <row r="35" spans="2:14" x14ac:dyDescent="0.25">
      <c r="B35" s="298" t="s">
        <v>259</v>
      </c>
      <c r="C35" s="290">
        <v>572</v>
      </c>
      <c r="D35" s="290">
        <v>284.10000000000002</v>
      </c>
      <c r="E35" s="357">
        <f t="shared" si="4"/>
        <v>0.49667832167832171</v>
      </c>
      <c r="F35" s="290">
        <f t="shared" si="5"/>
        <v>287.89999999999998</v>
      </c>
      <c r="G35"/>
      <c r="H35" s="473"/>
      <c r="N35" s="76"/>
    </row>
    <row r="36" spans="2:14" x14ac:dyDescent="0.25">
      <c r="B36" s="298" t="s">
        <v>260</v>
      </c>
      <c r="C36" s="290">
        <v>571.5</v>
      </c>
      <c r="D36" s="290">
        <v>0</v>
      </c>
      <c r="E36" s="357">
        <f t="shared" si="4"/>
        <v>0</v>
      </c>
      <c r="F36" s="290">
        <f t="shared" si="5"/>
        <v>571.5</v>
      </c>
      <c r="G36"/>
      <c r="H36" s="473"/>
      <c r="N36" s="76"/>
    </row>
    <row r="37" spans="2:14" x14ac:dyDescent="0.25">
      <c r="B37" s="298" t="s">
        <v>261</v>
      </c>
      <c r="C37" s="290">
        <v>1416</v>
      </c>
      <c r="D37" s="290">
        <v>400</v>
      </c>
      <c r="E37" s="357">
        <f t="shared" si="4"/>
        <v>0.2824858757062147</v>
      </c>
      <c r="F37" s="290">
        <f t="shared" si="5"/>
        <v>1016</v>
      </c>
      <c r="G37"/>
      <c r="H37" s="473"/>
      <c r="N37" s="76"/>
    </row>
    <row r="38" spans="2:14" x14ac:dyDescent="0.25">
      <c r="B38" s="298" t="s">
        <v>262</v>
      </c>
      <c r="C38" s="290">
        <v>1474.5</v>
      </c>
      <c r="D38" s="290">
        <v>742</v>
      </c>
      <c r="E38" s="357">
        <f t="shared" si="4"/>
        <v>0.5032214309935571</v>
      </c>
      <c r="F38" s="290">
        <f t="shared" si="5"/>
        <v>732.5</v>
      </c>
      <c r="G38"/>
      <c r="H38" s="473"/>
      <c r="N38" s="76"/>
    </row>
    <row r="39" spans="2:14" x14ac:dyDescent="0.25">
      <c r="B39" s="298" t="s">
        <v>263</v>
      </c>
      <c r="C39" s="290">
        <v>2400</v>
      </c>
      <c r="D39" s="290"/>
      <c r="E39" s="380">
        <f>+D39/C39</f>
        <v>0</v>
      </c>
      <c r="F39" s="290">
        <f t="shared" si="5"/>
        <v>2400</v>
      </c>
      <c r="G39" t="s">
        <v>264</v>
      </c>
      <c r="H39" s="473"/>
      <c r="J39" s="384"/>
      <c r="K39" s="381"/>
      <c r="N39" s="76"/>
    </row>
    <row r="40" spans="2:14" ht="16.5" thickTop="1" thickBot="1" x14ac:dyDescent="0.3">
      <c r="B40" s="299" t="s">
        <v>265</v>
      </c>
      <c r="C40" s="295">
        <f>SUM(C33:C39)</f>
        <v>14853</v>
      </c>
      <c r="D40" s="382">
        <f>+'Apr - Jun 2024'!O39</f>
        <v>5046.03</v>
      </c>
      <c r="E40" s="358">
        <f t="shared" si="4"/>
        <v>0.33973136740052512</v>
      </c>
      <c r="F40" s="295">
        <f>+C40-D40</f>
        <v>9806.9700000000012</v>
      </c>
      <c r="G40" t="s">
        <v>266</v>
      </c>
      <c r="H40" s="473"/>
      <c r="N40" s="76"/>
    </row>
    <row r="41" spans="2:14" ht="15.75" thickTop="1" x14ac:dyDescent="0.25">
      <c r="B41" s="298"/>
      <c r="C41" s="290"/>
      <c r="D41" s="475">
        <f>SUM(D33:D39)-D40</f>
        <v>0</v>
      </c>
      <c r="E41" s="472"/>
      <c r="F41" s="290"/>
      <c r="G41"/>
      <c r="H41" s="349"/>
      <c r="N41" s="76"/>
    </row>
    <row r="42" spans="2:14" x14ac:dyDescent="0.25">
      <c r="B42" s="298"/>
      <c r="C42" s="290"/>
      <c r="D42" s="290"/>
      <c r="F42" s="290"/>
      <c r="G42"/>
      <c r="H42" s="349"/>
      <c r="N42" s="76"/>
    </row>
    <row r="43" spans="2:14" x14ac:dyDescent="0.25">
      <c r="B43" s="300" t="s">
        <v>267</v>
      </c>
      <c r="C43" s="290"/>
      <c r="D43" s="290"/>
      <c r="F43" s="290"/>
      <c r="G43"/>
      <c r="H43" s="349"/>
      <c r="N43" s="76"/>
    </row>
    <row r="44" spans="2:14" x14ac:dyDescent="0.25">
      <c r="B44" s="298" t="s">
        <v>268</v>
      </c>
      <c r="C44" s="290">
        <f>+'Budget Sheet'!I23-'Q1 YTD Budget Report '!C45-'Q1 YTD Budget Report '!C46</f>
        <v>1245</v>
      </c>
      <c r="D44" s="290">
        <f>+'Jan - March 2025'!P26</f>
        <v>0</v>
      </c>
      <c r="E44" s="357">
        <f t="shared" ref="E44:E48" si="6">+D44/C44</f>
        <v>0</v>
      </c>
      <c r="F44" s="290">
        <f t="shared" ref="F44:F47" si="7">+C44-D44</f>
        <v>1245</v>
      </c>
      <c r="G44"/>
      <c r="H44" s="349"/>
      <c r="N44" s="76"/>
    </row>
    <row r="45" spans="2:14" x14ac:dyDescent="0.25">
      <c r="B45" s="298" t="s">
        <v>269</v>
      </c>
      <c r="C45" s="290">
        <v>35</v>
      </c>
      <c r="D45" s="290">
        <f>+'Jan - March 2025'!P11</f>
        <v>0</v>
      </c>
      <c r="E45" s="357">
        <f t="shared" si="6"/>
        <v>0</v>
      </c>
      <c r="F45" s="290">
        <f t="shared" si="7"/>
        <v>35</v>
      </c>
      <c r="G45"/>
      <c r="H45" s="349"/>
      <c r="N45" s="76"/>
    </row>
    <row r="46" spans="2:14" x14ac:dyDescent="0.25">
      <c r="B46" s="298" t="s">
        <v>270</v>
      </c>
      <c r="C46" s="290">
        <v>220</v>
      </c>
      <c r="D46" s="290">
        <f>+'Jan - March 2025'!P24</f>
        <v>0</v>
      </c>
      <c r="E46" s="357">
        <f t="shared" si="6"/>
        <v>0</v>
      </c>
      <c r="F46" s="290">
        <f t="shared" si="7"/>
        <v>220</v>
      </c>
      <c r="N46" s="76"/>
    </row>
    <row r="47" spans="2:14" ht="15.75" thickBot="1" x14ac:dyDescent="0.3">
      <c r="B47" s="298" t="s">
        <v>271</v>
      </c>
      <c r="C47" s="290">
        <v>0</v>
      </c>
      <c r="D47" s="290">
        <f>+'Oct - Dec 2024'!P12</f>
        <v>0</v>
      </c>
      <c r="F47" s="290">
        <f t="shared" si="7"/>
        <v>0</v>
      </c>
      <c r="N47" s="76"/>
    </row>
    <row r="48" spans="2:14" ht="16.5" thickTop="1" thickBot="1" x14ac:dyDescent="0.3">
      <c r="B48" s="299" t="s">
        <v>272</v>
      </c>
      <c r="C48" s="295">
        <f>SUM(C44:C47)</f>
        <v>1500</v>
      </c>
      <c r="D48" s="382">
        <f>+'Jan - March 2025'!P32</f>
        <v>3100</v>
      </c>
      <c r="E48" s="358">
        <f t="shared" si="6"/>
        <v>2.0666666666666669</v>
      </c>
      <c r="F48" s="295">
        <f>+C48-D48</f>
        <v>-1600</v>
      </c>
      <c r="G48" s="268" t="s">
        <v>273</v>
      </c>
      <c r="H48" s="271"/>
      <c r="N48" s="76"/>
    </row>
    <row r="49" spans="2:14" ht="16.5" thickTop="1" thickBot="1" x14ac:dyDescent="0.3">
      <c r="B49" s="298"/>
      <c r="C49" s="290"/>
      <c r="D49" s="290"/>
      <c r="F49" s="290"/>
      <c r="N49" s="76"/>
    </row>
    <row r="50" spans="2:14" ht="16.5" thickTop="1" thickBot="1" x14ac:dyDescent="0.3">
      <c r="B50" s="299" t="s">
        <v>88</v>
      </c>
      <c r="C50" s="295">
        <f>+'Budget Sheet'!I24</f>
        <v>80</v>
      </c>
      <c r="D50" s="382">
        <f>+'Jan - March 2025'!Q32</f>
        <v>71.400000000000006</v>
      </c>
      <c r="E50" s="358">
        <f t="shared" ref="E50:E51" si="8">+D50/C50</f>
        <v>0.89250000000000007</v>
      </c>
      <c r="F50" s="295">
        <f>+C50-D50</f>
        <v>8.5999999999999943</v>
      </c>
      <c r="H50" s="271"/>
      <c r="N50" s="76"/>
    </row>
    <row r="51" spans="2:14" ht="16.5" thickTop="1" thickBot="1" x14ac:dyDescent="0.3">
      <c r="B51" s="299" t="s">
        <v>274</v>
      </c>
      <c r="C51" s="295">
        <f>+'Budget Sheet'!I25</f>
        <v>650</v>
      </c>
      <c r="D51" s="382">
        <f>+'Jan - March 2025'!R32</f>
        <v>635</v>
      </c>
      <c r="E51" s="358">
        <f t="shared" si="8"/>
        <v>0.97692307692307689</v>
      </c>
      <c r="F51" s="295">
        <f>+C51-D51</f>
        <v>15</v>
      </c>
      <c r="G51" s="268" t="s">
        <v>275</v>
      </c>
      <c r="H51" s="271"/>
      <c r="N51" s="76"/>
    </row>
    <row r="52" spans="2:14" ht="15.75" thickTop="1" x14ac:dyDescent="0.25">
      <c r="B52" s="296"/>
      <c r="C52" s="290"/>
      <c r="D52" s="290"/>
      <c r="F52" s="290"/>
      <c r="N52" s="76"/>
    </row>
    <row r="53" spans="2:14" x14ac:dyDescent="0.25">
      <c r="B53" s="292" t="s">
        <v>276</v>
      </c>
      <c r="C53" s="290"/>
      <c r="D53" s="290"/>
      <c r="F53" s="290"/>
      <c r="N53" s="115"/>
    </row>
    <row r="54" spans="2:14" x14ac:dyDescent="0.25">
      <c r="B54" s="296" t="s">
        <v>277</v>
      </c>
      <c r="C54" s="290">
        <f>+'Budget Sheet'!I26</f>
        <v>650</v>
      </c>
      <c r="D54" s="290">
        <f>+'Apr - Jun 2024'!S39</f>
        <v>790.17</v>
      </c>
      <c r="E54" s="357">
        <f t="shared" ref="E54:E61" si="9">+D54/C54</f>
        <v>1.2156461538461538</v>
      </c>
      <c r="F54" s="290">
        <f t="shared" ref="F54:F60" si="10">+C54-D54</f>
        <v>-140.16999999999996</v>
      </c>
      <c r="G54" s="268" t="s">
        <v>278</v>
      </c>
      <c r="N54" s="115"/>
    </row>
    <row r="55" spans="2:14" x14ac:dyDescent="0.25">
      <c r="B55" s="296" t="s">
        <v>85</v>
      </c>
      <c r="C55" s="290">
        <v>35</v>
      </c>
      <c r="D55" s="290">
        <f>+'Apr - Jun 2024'!T34</f>
        <v>35</v>
      </c>
      <c r="E55" s="357">
        <f t="shared" si="9"/>
        <v>1</v>
      </c>
      <c r="F55" s="290">
        <f t="shared" si="10"/>
        <v>0</v>
      </c>
      <c r="N55" s="115"/>
    </row>
    <row r="56" spans="2:14" x14ac:dyDescent="0.25">
      <c r="B56" s="296" t="s">
        <v>279</v>
      </c>
      <c r="C56" s="290">
        <v>0</v>
      </c>
      <c r="D56" s="290">
        <v>0</v>
      </c>
      <c r="E56" s="357" t="e">
        <f t="shared" si="9"/>
        <v>#DIV/0!</v>
      </c>
      <c r="F56" s="290">
        <f t="shared" si="10"/>
        <v>0</v>
      </c>
      <c r="N56" s="115"/>
    </row>
    <row r="57" spans="2:14" x14ac:dyDescent="0.25">
      <c r="B57" s="296" t="s">
        <v>280</v>
      </c>
      <c r="C57" s="290">
        <v>627</v>
      </c>
      <c r="D57" s="290">
        <v>0</v>
      </c>
      <c r="E57" s="357">
        <f t="shared" si="9"/>
        <v>0</v>
      </c>
      <c r="F57" s="290">
        <f t="shared" si="10"/>
        <v>627</v>
      </c>
      <c r="G57" s="268" t="s">
        <v>281</v>
      </c>
      <c r="N57" s="115"/>
    </row>
    <row r="58" spans="2:14" x14ac:dyDescent="0.25">
      <c r="B58" s="296" t="s">
        <v>59</v>
      </c>
      <c r="C58" s="290">
        <v>183</v>
      </c>
      <c r="D58" s="290">
        <f>+'Apr - Jun 2024'!T17</f>
        <v>183</v>
      </c>
      <c r="E58" s="357">
        <f t="shared" si="9"/>
        <v>1</v>
      </c>
      <c r="F58" s="290">
        <f t="shared" si="10"/>
        <v>0</v>
      </c>
      <c r="N58" s="115"/>
    </row>
    <row r="59" spans="2:14" x14ac:dyDescent="0.25">
      <c r="B59" s="296" t="s">
        <v>282</v>
      </c>
      <c r="C59" s="290">
        <v>70</v>
      </c>
      <c r="D59" s="290">
        <v>67.41</v>
      </c>
      <c r="E59" s="357">
        <f>+D59/(C59+C60)</f>
        <v>0.26435294117647057</v>
      </c>
      <c r="F59" s="290">
        <f t="shared" si="10"/>
        <v>2.5900000000000034</v>
      </c>
      <c r="N59" s="115"/>
    </row>
    <row r="60" spans="2:14" ht="15.75" thickBot="1" x14ac:dyDescent="0.3">
      <c r="B60" s="296" t="s">
        <v>283</v>
      </c>
      <c r="C60" s="290">
        <v>185</v>
      </c>
      <c r="D60" s="290">
        <v>185.08</v>
      </c>
      <c r="E60" s="357">
        <f>+D60/(C60+C61)</f>
        <v>9.5648578811369511E-2</v>
      </c>
      <c r="F60" s="290">
        <f t="shared" si="10"/>
        <v>-8.0000000000012506E-2</v>
      </c>
      <c r="N60" s="115"/>
    </row>
    <row r="61" spans="2:14" ht="16.5" thickTop="1" thickBot="1" x14ac:dyDescent="0.3">
      <c r="B61" s="293" t="s">
        <v>284</v>
      </c>
      <c r="C61" s="295">
        <f>SUM(C54:C60)</f>
        <v>1750</v>
      </c>
      <c r="D61" s="382">
        <f>+'Jan - March 2025'!S32+'Jan - March 2025'!T32</f>
        <v>1870.8899999999999</v>
      </c>
      <c r="E61" s="358">
        <f t="shared" si="9"/>
        <v>1.06908</v>
      </c>
      <c r="F61" s="295">
        <f>+C61-D61</f>
        <v>-120.88999999999987</v>
      </c>
      <c r="H61" s="271"/>
      <c r="N61" s="115"/>
    </row>
    <row r="62" spans="2:14" ht="15.75" thickTop="1" x14ac:dyDescent="0.25">
      <c r="C62" s="290"/>
      <c r="D62" s="290"/>
      <c r="F62" s="290"/>
      <c r="H62" s="271"/>
      <c r="N62" s="115"/>
    </row>
    <row r="63" spans="2:14" x14ac:dyDescent="0.25">
      <c r="B63" s="292" t="s">
        <v>285</v>
      </c>
      <c r="C63" s="290"/>
      <c r="D63" s="290"/>
      <c r="F63" s="290"/>
      <c r="N63" s="115"/>
    </row>
    <row r="64" spans="2:14" x14ac:dyDescent="0.25">
      <c r="B64" s="296" t="s">
        <v>286</v>
      </c>
      <c r="C64" s="290">
        <f>+'Budget Sheet'!I28</f>
        <v>298</v>
      </c>
      <c r="D64" s="290">
        <v>0</v>
      </c>
      <c r="E64" s="357">
        <f t="shared" ref="E64:E66" si="11">+D64/C64</f>
        <v>0</v>
      </c>
      <c r="F64" s="290">
        <f t="shared" ref="F64:F65" si="12">+C64-D64</f>
        <v>298</v>
      </c>
      <c r="N64" s="115"/>
    </row>
    <row r="65" spans="2:14" ht="15.75" thickBot="1" x14ac:dyDescent="0.3">
      <c r="B65" s="296" t="s">
        <v>15</v>
      </c>
      <c r="C65" s="290">
        <v>0</v>
      </c>
      <c r="D65" s="290">
        <v>0</v>
      </c>
      <c r="E65" s="357" t="e">
        <f t="shared" si="11"/>
        <v>#DIV/0!</v>
      </c>
      <c r="F65" s="290">
        <f t="shared" si="12"/>
        <v>0</v>
      </c>
      <c r="N65" s="115"/>
    </row>
    <row r="66" spans="2:14" ht="16.5" thickTop="1" thickBot="1" x14ac:dyDescent="0.3">
      <c r="B66" s="293" t="s">
        <v>287</v>
      </c>
      <c r="C66" s="295">
        <f>SUM(C64:C65)</f>
        <v>298</v>
      </c>
      <c r="D66" s="382">
        <f>+'Jan - March 2025'!U32</f>
        <v>300</v>
      </c>
      <c r="E66" s="358">
        <f t="shared" si="11"/>
        <v>1.0067114093959733</v>
      </c>
      <c r="F66" s="295">
        <f>+C66-D66</f>
        <v>-2</v>
      </c>
      <c r="H66" s="392"/>
      <c r="N66" s="115"/>
    </row>
    <row r="67" spans="2:14" ht="15.75" thickTop="1" x14ac:dyDescent="0.25">
      <c r="C67" s="290"/>
      <c r="D67" s="290"/>
      <c r="F67" s="290"/>
      <c r="N67" s="115"/>
    </row>
    <row r="68" spans="2:14" x14ac:dyDescent="0.25">
      <c r="B68" s="292" t="s">
        <v>288</v>
      </c>
      <c r="C68" s="290"/>
      <c r="D68" s="290"/>
      <c r="F68" s="290"/>
      <c r="N68" s="115"/>
    </row>
    <row r="69" spans="2:14" x14ac:dyDescent="0.25">
      <c r="B69" s="296" t="s">
        <v>289</v>
      </c>
      <c r="C69" s="290"/>
      <c r="D69" s="290">
        <v>0</v>
      </c>
      <c r="E69" s="357" t="e">
        <f t="shared" ref="E69:E74" si="13">+D69/C69</f>
        <v>#DIV/0!</v>
      </c>
      <c r="F69" s="290">
        <f t="shared" ref="F69:F73" si="14">+C69-D69</f>
        <v>0</v>
      </c>
      <c r="N69" s="115"/>
    </row>
    <row r="70" spans="2:14" x14ac:dyDescent="0.25">
      <c r="B70" s="296" t="s">
        <v>290</v>
      </c>
      <c r="C70" s="290"/>
      <c r="D70" s="290">
        <v>0</v>
      </c>
      <c r="E70" s="357" t="e">
        <f t="shared" si="13"/>
        <v>#DIV/0!</v>
      </c>
      <c r="F70" s="290">
        <f t="shared" si="14"/>
        <v>0</v>
      </c>
      <c r="N70" s="115"/>
    </row>
    <row r="71" spans="2:14" x14ac:dyDescent="0.25">
      <c r="B71" s="296" t="s">
        <v>291</v>
      </c>
      <c r="C71" s="290"/>
      <c r="D71" s="290">
        <v>0</v>
      </c>
      <c r="E71" s="357" t="e">
        <f t="shared" si="13"/>
        <v>#DIV/0!</v>
      </c>
      <c r="F71" s="290">
        <f t="shared" si="14"/>
        <v>0</v>
      </c>
      <c r="N71" s="115"/>
    </row>
    <row r="72" spans="2:14" x14ac:dyDescent="0.25">
      <c r="B72" s="296" t="s">
        <v>292</v>
      </c>
      <c r="C72" s="290"/>
      <c r="D72" s="290">
        <v>0</v>
      </c>
      <c r="E72" s="357" t="e">
        <f t="shared" si="13"/>
        <v>#DIV/0!</v>
      </c>
      <c r="F72" s="290">
        <f t="shared" si="14"/>
        <v>0</v>
      </c>
      <c r="N72" s="115"/>
    </row>
    <row r="73" spans="2:14" ht="15.75" thickBot="1" x14ac:dyDescent="0.3">
      <c r="B73" s="296" t="s">
        <v>293</v>
      </c>
      <c r="C73" s="290"/>
      <c r="D73" s="290">
        <v>0</v>
      </c>
      <c r="E73" s="357" t="e">
        <f t="shared" si="13"/>
        <v>#DIV/0!</v>
      </c>
      <c r="F73" s="290">
        <f t="shared" si="14"/>
        <v>0</v>
      </c>
      <c r="N73" s="115"/>
    </row>
    <row r="74" spans="2:14" ht="16.5" thickTop="1" thickBot="1" x14ac:dyDescent="0.3">
      <c r="B74" s="293" t="s">
        <v>294</v>
      </c>
      <c r="C74" s="295">
        <v>2287</v>
      </c>
      <c r="D74" s="382">
        <f>+'Oct - Dec 2024'!V40</f>
        <v>1819.5</v>
      </c>
      <c r="E74" s="358">
        <f t="shared" si="13"/>
        <v>0.79558373414954087</v>
      </c>
      <c r="F74" s="295">
        <f>+C74-D74</f>
        <v>467.5</v>
      </c>
      <c r="G74" s="268" t="s">
        <v>295</v>
      </c>
      <c r="H74" s="392"/>
    </row>
    <row r="75" spans="2:14" ht="15.75" thickTop="1" x14ac:dyDescent="0.25">
      <c r="C75" s="290"/>
      <c r="D75" s="290"/>
      <c r="F75" s="290"/>
    </row>
    <row r="76" spans="2:14" x14ac:dyDescent="0.25">
      <c r="B76" s="292" t="s">
        <v>296</v>
      </c>
      <c r="C76" s="290"/>
      <c r="D76" s="290"/>
      <c r="F76" s="290"/>
    </row>
    <row r="77" spans="2:14" x14ac:dyDescent="0.25">
      <c r="B77" s="296" t="s">
        <v>297</v>
      </c>
      <c r="C77" s="290">
        <f>+'Budget Sheet'!I30</f>
        <v>3150</v>
      </c>
      <c r="D77" s="290">
        <f>+'Jan - March 2025'!W32</f>
        <v>3000</v>
      </c>
      <c r="E77" s="357">
        <f t="shared" ref="E77:E81" si="15">+D77/C77</f>
        <v>0.95238095238095233</v>
      </c>
      <c r="F77" s="290">
        <f t="shared" ref="F77:F80" si="16">+C77-D77</f>
        <v>150</v>
      </c>
      <c r="G77" s="268" t="s">
        <v>298</v>
      </c>
    </row>
    <row r="78" spans="2:14" x14ac:dyDescent="0.25">
      <c r="B78" s="296" t="s">
        <v>299</v>
      </c>
      <c r="C78" s="290">
        <v>200</v>
      </c>
      <c r="D78" s="290">
        <v>0</v>
      </c>
      <c r="E78" s="357">
        <f t="shared" si="15"/>
        <v>0</v>
      </c>
      <c r="F78" s="290">
        <f t="shared" si="16"/>
        <v>200</v>
      </c>
    </row>
    <row r="79" spans="2:14" x14ac:dyDescent="0.25">
      <c r="B79" s="296" t="s">
        <v>300</v>
      </c>
      <c r="C79" s="290">
        <v>800</v>
      </c>
      <c r="D79" s="290">
        <v>0</v>
      </c>
      <c r="E79" s="357">
        <f t="shared" si="15"/>
        <v>0</v>
      </c>
      <c r="F79" s="290">
        <f t="shared" si="16"/>
        <v>800</v>
      </c>
    </row>
    <row r="80" spans="2:14" ht="15.75" thickBot="1" x14ac:dyDescent="0.3">
      <c r="B80" s="296" t="s">
        <v>301</v>
      </c>
      <c r="C80" s="290">
        <v>0</v>
      </c>
      <c r="D80" s="290">
        <v>0</v>
      </c>
      <c r="F80" s="290">
        <f t="shared" si="16"/>
        <v>0</v>
      </c>
    </row>
    <row r="81" spans="2:8" ht="16.5" thickTop="1" thickBot="1" x14ac:dyDescent="0.3">
      <c r="B81" s="302" t="s">
        <v>296</v>
      </c>
      <c r="C81" s="295">
        <f>SUM(C77:C80)</f>
        <v>4150</v>
      </c>
      <c r="D81" s="382">
        <f>+'Jan - March 2025'!W32+'Jan - March 2025'!Y32</f>
        <v>3032.68</v>
      </c>
      <c r="E81" s="358">
        <f t="shared" si="15"/>
        <v>0.73076626506024089</v>
      </c>
      <c r="F81" s="295">
        <f>+C81-D81</f>
        <v>1117.3200000000002</v>
      </c>
    </row>
    <row r="82" spans="2:8" ht="15.75" thickTop="1" x14ac:dyDescent="0.25">
      <c r="C82" s="290"/>
      <c r="D82" s="290"/>
      <c r="F82" s="290"/>
      <c r="H82" s="392"/>
    </row>
    <row r="83" spans="2:8" x14ac:dyDescent="0.25">
      <c r="B83" s="292" t="s">
        <v>302</v>
      </c>
      <c r="C83" s="290"/>
      <c r="D83" s="290"/>
      <c r="F83" s="290"/>
      <c r="H83" s="392"/>
    </row>
    <row r="84" spans="2:8" ht="15.75" thickBot="1" x14ac:dyDescent="0.3">
      <c r="B84" s="296" t="s">
        <v>303</v>
      </c>
      <c r="C84" s="290">
        <f>+'Budget Sheet'!I33</f>
        <v>1000</v>
      </c>
      <c r="D84" s="290">
        <v>0</v>
      </c>
      <c r="E84" s="357">
        <f>+D84/C84</f>
        <v>0</v>
      </c>
      <c r="F84" s="290">
        <f t="shared" ref="F84" si="17">+C84-D84</f>
        <v>1000</v>
      </c>
      <c r="G84" s="268" t="s">
        <v>304</v>
      </c>
      <c r="H84" s="392"/>
    </row>
    <row r="85" spans="2:8" ht="16.5" thickTop="1" thickBot="1" x14ac:dyDescent="0.3">
      <c r="B85" s="293" t="s">
        <v>302</v>
      </c>
      <c r="C85" s="295">
        <f>SUM(C84)</f>
        <v>1000</v>
      </c>
      <c r="D85" s="295">
        <f>+'Oct - Dec 2024'!Z40</f>
        <v>1567.21</v>
      </c>
      <c r="E85" s="358">
        <f>+D85/C85</f>
        <v>1.56721</v>
      </c>
      <c r="F85" s="295">
        <f>+C85-D85</f>
        <v>-567.21</v>
      </c>
    </row>
    <row r="86" spans="2:8" ht="15.75" thickTop="1" x14ac:dyDescent="0.25">
      <c r="B86" s="292"/>
      <c r="C86" s="290"/>
      <c r="D86" s="290"/>
      <c r="F86" s="290"/>
    </row>
    <row r="87" spans="2:8" x14ac:dyDescent="0.25">
      <c r="B87" s="292" t="s">
        <v>305</v>
      </c>
      <c r="C87" s="290"/>
      <c r="D87" s="290"/>
      <c r="F87" s="290"/>
    </row>
    <row r="88" spans="2:8" ht="15.75" thickBot="1" x14ac:dyDescent="0.3">
      <c r="B88" s="296" t="s">
        <v>306</v>
      </c>
      <c r="C88" s="290">
        <f>+'Budget Sheet'!I34</f>
        <v>386.40000000000003</v>
      </c>
      <c r="D88" s="290">
        <f>+'Apr - Jun 2024'!AA33</f>
        <v>35.700000000000003</v>
      </c>
      <c r="E88" s="357">
        <f>+D88/C88</f>
        <v>9.2391304347826081E-2</v>
      </c>
      <c r="F88" s="290">
        <f t="shared" ref="F88" si="18">+C88-D88</f>
        <v>350.70000000000005</v>
      </c>
    </row>
    <row r="89" spans="2:8" ht="16.5" thickTop="1" thickBot="1" x14ac:dyDescent="0.3">
      <c r="B89" s="293" t="s">
        <v>305</v>
      </c>
      <c r="C89" s="295">
        <f>SUM(C88)</f>
        <v>386.40000000000003</v>
      </c>
      <c r="D89" s="382">
        <f>+'Oct - Dec 2024'!AA40+'Oct - Dec 2024'!AB40</f>
        <v>2219.9</v>
      </c>
      <c r="E89" s="358">
        <f>+D89/C89</f>
        <v>5.7450828157349898</v>
      </c>
      <c r="F89" s="295">
        <f>+C89-D89</f>
        <v>-1833.5</v>
      </c>
      <c r="H89" s="392"/>
    </row>
    <row r="90" spans="2:8" ht="16.5" thickTop="1" thickBot="1" x14ac:dyDescent="0.3">
      <c r="B90" s="292"/>
      <c r="C90" s="290"/>
      <c r="D90" s="290"/>
      <c r="F90" s="290"/>
      <c r="H90" s="392"/>
    </row>
    <row r="91" spans="2:8" ht="16.5" thickTop="1" thickBot="1" x14ac:dyDescent="0.3">
      <c r="B91" s="293" t="s">
        <v>307</v>
      </c>
      <c r="C91" s="295">
        <v>0</v>
      </c>
      <c r="D91" s="295">
        <f>+'Jan - March 2025'!AD32</f>
        <v>4264.1000000000004</v>
      </c>
      <c r="E91" s="358">
        <v>0</v>
      </c>
      <c r="F91" s="295">
        <f>+C91-D91</f>
        <v>-4264.1000000000004</v>
      </c>
      <c r="H91" s="392"/>
    </row>
    <row r="92" spans="2:8" ht="16.5" thickTop="1" thickBot="1" x14ac:dyDescent="0.3">
      <c r="B92" s="292"/>
      <c r="C92" s="290"/>
      <c r="D92" s="290"/>
      <c r="F92" s="290"/>
    </row>
    <row r="93" spans="2:8" ht="16.5" thickTop="1" thickBot="1" x14ac:dyDescent="0.3">
      <c r="B93" s="293" t="s">
        <v>308</v>
      </c>
      <c r="C93" s="295">
        <f>SUM(C89,C85,C81,C74,C66,C61,C51,C50,C48,C40,C30,C18)</f>
        <v>51954.400000000001</v>
      </c>
      <c r="D93" s="295">
        <f>SUM(D89,D85,D81,D74,D66,D61,D51,D50,D48,D40,D30,D18,D91)</f>
        <v>37937.370000000003</v>
      </c>
      <c r="E93" s="358">
        <f>+D93/C93</f>
        <v>0.73020514143171711</v>
      </c>
      <c r="F93" s="295">
        <f>+C93-D93</f>
        <v>14017.029999999999</v>
      </c>
      <c r="G93" s="385"/>
    </row>
    <row r="94" spans="2:8" ht="15.75" thickTop="1" x14ac:dyDescent="0.25">
      <c r="C94" s="301"/>
      <c r="D94" s="301"/>
      <c r="F94" s="301"/>
    </row>
    <row r="95" spans="2:8" x14ac:dyDescent="0.25">
      <c r="B95" s="296" t="s">
        <v>309</v>
      </c>
      <c r="C95" s="301">
        <f>+C10-C93</f>
        <v>-2436.4000000000015</v>
      </c>
      <c r="D95" s="301">
        <f>+D10-D93</f>
        <v>11399.629999999997</v>
      </c>
      <c r="F95" s="301">
        <f>+C95-D95</f>
        <v>-13836.029999999999</v>
      </c>
      <c r="G95" s="385"/>
      <c r="H95" s="384"/>
    </row>
    <row r="96" spans="2:8" ht="15.75" thickBot="1" x14ac:dyDescent="0.3">
      <c r="B96" s="296"/>
      <c r="C96" s="301"/>
      <c r="D96" s="301"/>
      <c r="F96" s="301"/>
    </row>
    <row r="97" spans="2:14" ht="16.5" thickTop="1" thickBot="1" x14ac:dyDescent="0.3">
      <c r="B97" s="293" t="s">
        <v>310</v>
      </c>
      <c r="C97" s="295">
        <v>0</v>
      </c>
      <c r="D97" s="295">
        <f>+'Oct - Dec 2024'!AB40</f>
        <v>2000</v>
      </c>
      <c r="E97" s="358"/>
      <c r="F97" s="295">
        <f>+C97-D97</f>
        <v>-2000</v>
      </c>
    </row>
    <row r="98" spans="2:14" ht="16.5" thickTop="1" thickBot="1" x14ac:dyDescent="0.3">
      <c r="B98" s="292"/>
      <c r="C98" s="290"/>
      <c r="D98" s="290"/>
      <c r="F98" s="290"/>
    </row>
    <row r="99" spans="2:14" ht="16.5" thickTop="1" thickBot="1" x14ac:dyDescent="0.3">
      <c r="B99" s="293" t="s">
        <v>311</v>
      </c>
      <c r="C99" s="295">
        <f>SUM(C77,C74,C38,C28)</f>
        <v>7031</v>
      </c>
      <c r="D99" s="295">
        <f>SUM(D77,D74,D38,D28)</f>
        <v>5561.5</v>
      </c>
      <c r="E99" s="358"/>
      <c r="F99" s="295">
        <f>+C99-D99</f>
        <v>1469.5</v>
      </c>
    </row>
    <row r="100" spans="2:14" ht="15.75" thickTop="1" x14ac:dyDescent="0.25">
      <c r="C100" s="290"/>
      <c r="D100" s="290"/>
      <c r="F100" s="290"/>
    </row>
    <row r="101" spans="2:14" s="268" customFormat="1" x14ac:dyDescent="0.25">
      <c r="B101" s="292" t="s">
        <v>312</v>
      </c>
      <c r="C101" s="301" t="s">
        <v>313</v>
      </c>
      <c r="D101" s="301"/>
      <c r="E101" s="357"/>
      <c r="F101" s="301"/>
      <c r="H101"/>
      <c r="I101"/>
      <c r="J101"/>
      <c r="K101"/>
      <c r="L101"/>
      <c r="M101"/>
      <c r="N101"/>
    </row>
    <row r="102" spans="2:14" s="268" customFormat="1" x14ac:dyDescent="0.25">
      <c r="B102" s="345" t="s">
        <v>241</v>
      </c>
      <c r="C102" s="346">
        <v>17335.2</v>
      </c>
      <c r="D102" s="346">
        <f>+D18</f>
        <v>9618.2099999999991</v>
      </c>
      <c r="E102" s="357">
        <f>+D102/C102</f>
        <v>0.55483697909455898</v>
      </c>
      <c r="F102" s="346">
        <f>+C102-D102</f>
        <v>7716.9900000000016</v>
      </c>
      <c r="H102"/>
      <c r="I102"/>
      <c r="J102"/>
      <c r="K102"/>
      <c r="L102"/>
      <c r="M102"/>
      <c r="N102"/>
    </row>
    <row r="103" spans="2:14" s="268" customFormat="1" x14ac:dyDescent="0.25">
      <c r="B103" s="345" t="s">
        <v>255</v>
      </c>
      <c r="C103" s="346">
        <v>7550</v>
      </c>
      <c r="D103" s="346">
        <f>+D30</f>
        <v>4392.45</v>
      </c>
      <c r="E103" s="357">
        <f t="shared" ref="E103:E106" si="19">+D103/C103</f>
        <v>0.58178145695364236</v>
      </c>
      <c r="F103" s="346">
        <f t="shared" ref="F103:F106" si="20">+C103-D103</f>
        <v>3157.55</v>
      </c>
      <c r="H103"/>
      <c r="I103"/>
      <c r="J103"/>
      <c r="K103"/>
      <c r="L103"/>
      <c r="M103"/>
      <c r="N103"/>
    </row>
    <row r="104" spans="2:14" s="268" customFormat="1" x14ac:dyDescent="0.25">
      <c r="B104" s="345" t="s">
        <v>265</v>
      </c>
      <c r="C104" s="346">
        <v>14775.25</v>
      </c>
      <c r="D104" s="346">
        <f>+D40</f>
        <v>5046.03</v>
      </c>
      <c r="E104" s="357">
        <f t="shared" si="19"/>
        <v>0.34151909443156631</v>
      </c>
      <c r="F104" s="346">
        <f t="shared" si="20"/>
        <v>9729.2200000000012</v>
      </c>
      <c r="H104"/>
      <c r="I104"/>
      <c r="J104"/>
      <c r="K104"/>
      <c r="L104"/>
      <c r="M104"/>
      <c r="N104"/>
    </row>
    <row r="105" spans="2:14" s="268" customFormat="1" x14ac:dyDescent="0.25">
      <c r="B105" s="363" t="s">
        <v>284</v>
      </c>
      <c r="C105" s="346">
        <v>2645</v>
      </c>
      <c r="D105" s="346">
        <f>+D61</f>
        <v>1870.8899999999999</v>
      </c>
      <c r="E105" s="357">
        <f t="shared" si="19"/>
        <v>0.70733081285444233</v>
      </c>
      <c r="F105" s="346">
        <f t="shared" si="20"/>
        <v>774.11000000000013</v>
      </c>
      <c r="H105"/>
      <c r="I105"/>
      <c r="J105"/>
      <c r="K105"/>
      <c r="L105"/>
      <c r="M105"/>
      <c r="N105"/>
    </row>
    <row r="106" spans="2:14" s="268" customFormat="1" ht="15.75" thickBot="1" x14ac:dyDescent="0.3">
      <c r="B106" s="345" t="s">
        <v>314</v>
      </c>
      <c r="C106" s="346">
        <v>8805</v>
      </c>
      <c r="D106" s="346">
        <f>+D89+D85+D81+D74+D66+D51+D50+D48+D91</f>
        <v>17009.79</v>
      </c>
      <c r="E106" s="357">
        <f t="shared" si="19"/>
        <v>1.9318330494037479</v>
      </c>
      <c r="F106" s="346">
        <f t="shared" si="20"/>
        <v>-8204.7900000000009</v>
      </c>
      <c r="H106"/>
      <c r="I106"/>
      <c r="J106"/>
      <c r="K106"/>
      <c r="L106"/>
      <c r="M106"/>
      <c r="N106"/>
    </row>
    <row r="107" spans="2:14" s="268" customFormat="1" ht="16.5" thickTop="1" thickBot="1" x14ac:dyDescent="0.3">
      <c r="B107" s="347" t="s">
        <v>308</v>
      </c>
      <c r="C107" s="348">
        <f>SUM(C102:C106)</f>
        <v>51110.45</v>
      </c>
      <c r="D107" s="348">
        <f>SUM(D102:D106)</f>
        <v>37937.369999999995</v>
      </c>
      <c r="E107" s="359">
        <f>+D107/C107</f>
        <v>0.74226249230832442</v>
      </c>
      <c r="F107" s="348">
        <f>+C107-D107</f>
        <v>13173.080000000002</v>
      </c>
      <c r="H107"/>
      <c r="I107"/>
      <c r="J107"/>
      <c r="K107"/>
      <c r="L107"/>
      <c r="M107"/>
      <c r="N107"/>
    </row>
    <row r="108" spans="2:14" s="268" customFormat="1" ht="15.75" thickTop="1" x14ac:dyDescent="0.25">
      <c r="B108"/>
      <c r="C108" s="301"/>
      <c r="D108" s="301"/>
      <c r="E108" s="357"/>
      <c r="F108" s="301"/>
      <c r="H108"/>
      <c r="I108"/>
      <c r="J108"/>
      <c r="K108"/>
      <c r="L108"/>
      <c r="M108"/>
      <c r="N108"/>
    </row>
    <row r="109" spans="2:14" s="268" customFormat="1" x14ac:dyDescent="0.25">
      <c r="B109" s="292" t="s">
        <v>315</v>
      </c>
      <c r="C109"/>
      <c r="D109" s="301"/>
      <c r="E109" s="357"/>
      <c r="F109" s="301"/>
      <c r="H109"/>
      <c r="I109"/>
      <c r="J109"/>
      <c r="K109"/>
      <c r="L109"/>
      <c r="M109"/>
      <c r="N109"/>
    </row>
    <row r="110" spans="2:14" s="268" customFormat="1" x14ac:dyDescent="0.25">
      <c r="B110"/>
      <c r="C110" s="301"/>
      <c r="D110" s="301"/>
      <c r="E110" s="357"/>
      <c r="F110" s="301"/>
      <c r="H110"/>
      <c r="I110"/>
      <c r="J110"/>
      <c r="K110"/>
      <c r="L110"/>
      <c r="M110"/>
      <c r="N110"/>
    </row>
    <row r="111" spans="2:14" s="268" customFormat="1" x14ac:dyDescent="0.25">
      <c r="B111" s="296" t="s">
        <v>316</v>
      </c>
      <c r="C111" s="301"/>
      <c r="D111" s="301"/>
      <c r="E111" s="357"/>
      <c r="F111" s="301"/>
      <c r="H111"/>
      <c r="I111" s="383"/>
      <c r="J111"/>
      <c r="K111"/>
      <c r="L111"/>
      <c r="M111"/>
      <c r="N111"/>
    </row>
    <row r="112" spans="2:14" s="268" customFormat="1" x14ac:dyDescent="0.25">
      <c r="B112"/>
      <c r="C112" s="301"/>
      <c r="D112" s="301"/>
      <c r="E112" s="357"/>
      <c r="F112" s="301"/>
      <c r="H112"/>
      <c r="I112" s="381"/>
      <c r="J112"/>
      <c r="K112"/>
      <c r="L112"/>
      <c r="M112"/>
      <c r="N112"/>
    </row>
    <row r="113" spans="2:14" s="268" customFormat="1" x14ac:dyDescent="0.25">
      <c r="B113" s="296" t="s">
        <v>317</v>
      </c>
      <c r="C113" s="301"/>
      <c r="D113" s="301"/>
      <c r="E113" s="357"/>
      <c r="F113" s="301"/>
      <c r="H113"/>
      <c r="I113"/>
      <c r="J113"/>
      <c r="K113"/>
      <c r="L113"/>
      <c r="M113"/>
      <c r="N113"/>
    </row>
    <row r="114" spans="2:14" s="268" customFormat="1" x14ac:dyDescent="0.25">
      <c r="B114"/>
      <c r="C114" s="301"/>
      <c r="D114" s="301"/>
      <c r="E114" s="357"/>
      <c r="F114" s="301"/>
      <c r="H114"/>
      <c r="I114"/>
      <c r="J114"/>
      <c r="K114"/>
      <c r="L114"/>
      <c r="M114"/>
      <c r="N114"/>
    </row>
    <row r="115" spans="2:14" s="268" customFormat="1" x14ac:dyDescent="0.25">
      <c r="B115" s="296" t="s">
        <v>318</v>
      </c>
      <c r="C115" s="301"/>
      <c r="D115" s="301"/>
      <c r="E115" s="357"/>
      <c r="F115" s="301"/>
      <c r="H115"/>
      <c r="I115"/>
      <c r="J115"/>
      <c r="K115"/>
      <c r="L115"/>
      <c r="M115"/>
      <c r="N115"/>
    </row>
    <row r="116" spans="2:14" s="268" customFormat="1" x14ac:dyDescent="0.25">
      <c r="B116"/>
      <c r="C116" s="301"/>
      <c r="D116" s="301"/>
      <c r="E116" s="357"/>
      <c r="F116" s="301"/>
      <c r="H116"/>
      <c r="I116"/>
      <c r="J116"/>
      <c r="K116"/>
      <c r="L116"/>
      <c r="M116"/>
      <c r="N116"/>
    </row>
    <row r="117" spans="2:14" s="268" customFormat="1" x14ac:dyDescent="0.25">
      <c r="B117"/>
      <c r="C117" s="301"/>
      <c r="D117" s="301"/>
      <c r="E117" s="357"/>
      <c r="F117" s="301"/>
      <c r="H117"/>
      <c r="I117"/>
      <c r="J117"/>
      <c r="K117"/>
      <c r="L117"/>
      <c r="M117"/>
      <c r="N117"/>
    </row>
    <row r="118" spans="2:14" s="268" customFormat="1" x14ac:dyDescent="0.25">
      <c r="B118"/>
      <c r="C118" s="301"/>
      <c r="D118" s="301"/>
      <c r="E118" s="357"/>
      <c r="F118" s="301"/>
      <c r="H118"/>
      <c r="I118"/>
      <c r="J118"/>
      <c r="K118"/>
      <c r="L118"/>
      <c r="M118"/>
      <c r="N118"/>
    </row>
    <row r="119" spans="2:14" s="268" customFormat="1" x14ac:dyDescent="0.25">
      <c r="B119"/>
      <c r="C119" s="301"/>
      <c r="D119" s="301"/>
      <c r="E119" s="357"/>
      <c r="F119" s="301"/>
      <c r="H119"/>
      <c r="I119"/>
      <c r="J119"/>
      <c r="K119"/>
      <c r="L119"/>
      <c r="M119"/>
      <c r="N119"/>
    </row>
    <row r="120" spans="2:14" s="268" customFormat="1" x14ac:dyDescent="0.25">
      <c r="B120"/>
      <c r="C120" s="301"/>
      <c r="D120" s="301"/>
      <c r="E120" s="357"/>
      <c r="F120" s="301"/>
      <c r="H120"/>
      <c r="I120"/>
      <c r="J120"/>
      <c r="K120"/>
      <c r="L120"/>
      <c r="M120"/>
      <c r="N120"/>
    </row>
    <row r="121" spans="2:14" s="268" customFormat="1" x14ac:dyDescent="0.25">
      <c r="B121"/>
      <c r="C121" s="301"/>
      <c r="D121" s="301"/>
      <c r="E121" s="357"/>
      <c r="F121" s="301"/>
      <c r="G121" s="391"/>
      <c r="H121"/>
      <c r="I121"/>
      <c r="J121"/>
      <c r="K121"/>
      <c r="L121"/>
      <c r="M121"/>
      <c r="N121"/>
    </row>
    <row r="122" spans="2:14" s="268" customFormat="1" x14ac:dyDescent="0.25">
      <c r="B122"/>
      <c r="C122" s="301"/>
      <c r="D122" s="301"/>
      <c r="E122" s="357"/>
      <c r="F122" s="301"/>
      <c r="H122"/>
      <c r="I122"/>
      <c r="J122"/>
      <c r="K122"/>
      <c r="L122"/>
      <c r="M122"/>
      <c r="N122"/>
    </row>
    <row r="123" spans="2:14" s="268" customFormat="1" x14ac:dyDescent="0.25">
      <c r="B123"/>
      <c r="C123" s="301"/>
      <c r="D123" s="301"/>
      <c r="E123" s="357"/>
      <c r="F123" s="301"/>
      <c r="H123"/>
      <c r="I123"/>
      <c r="J123"/>
      <c r="K123"/>
      <c r="L123"/>
      <c r="M123"/>
      <c r="N123"/>
    </row>
    <row r="124" spans="2:14" s="268" customFormat="1" x14ac:dyDescent="0.25">
      <c r="B124"/>
      <c r="C124" s="301"/>
      <c r="D124" s="301"/>
      <c r="E124" s="357"/>
      <c r="F124" s="301"/>
      <c r="H124"/>
      <c r="I124"/>
      <c r="J124"/>
      <c r="K124"/>
      <c r="L124"/>
      <c r="M124"/>
      <c r="N124"/>
    </row>
  </sheetData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300" r:id="rId1"/>
  <rowBreaks count="3" manualBreakCount="3">
    <brk id="31" min="1" max="7" man="1"/>
    <brk id="52" min="1" max="7" man="1"/>
    <brk id="67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41C0-6E50-4881-B585-521E43F729CE}">
  <sheetPr>
    <pageSetUpPr fitToPage="1"/>
  </sheetPr>
  <dimension ref="B2:N129"/>
  <sheetViews>
    <sheetView topLeftCell="A18" workbookViewId="0">
      <selection activeCell="H34" sqref="H34"/>
    </sheetView>
  </sheetViews>
  <sheetFormatPr defaultRowHeight="15" x14ac:dyDescent="0.25"/>
  <cols>
    <col min="2" max="2" width="42.28515625" bestFit="1" customWidth="1"/>
    <col min="3" max="4" width="15.7109375" customWidth="1"/>
    <col min="5" max="5" width="7.7109375" style="357" bestFit="1" customWidth="1"/>
    <col min="6" max="6" width="15.7109375" customWidth="1"/>
    <col min="7" max="7" width="70.85546875" style="268" customWidth="1"/>
    <col min="8" max="8" width="10.5703125" bestFit="1" customWidth="1"/>
  </cols>
  <sheetData>
    <row r="2" spans="2:14" ht="45" x14ac:dyDescent="0.25">
      <c r="B2" s="291" t="s">
        <v>222</v>
      </c>
      <c r="C2" s="344" t="s">
        <v>223</v>
      </c>
      <c r="D2" s="393" t="s">
        <v>224</v>
      </c>
      <c r="E2" s="360" t="s">
        <v>225</v>
      </c>
      <c r="F2" s="362" t="s">
        <v>226</v>
      </c>
    </row>
    <row r="4" spans="2:14" x14ac:dyDescent="0.25">
      <c r="B4" s="292" t="s">
        <v>227</v>
      </c>
      <c r="C4" s="290"/>
      <c r="D4" s="290"/>
      <c r="F4" s="290"/>
    </row>
    <row r="5" spans="2:14" x14ac:dyDescent="0.25">
      <c r="B5" s="292" t="s">
        <v>13</v>
      </c>
      <c r="C5" s="290">
        <f>+'Budget Sheet'!I7</f>
        <v>45560</v>
      </c>
      <c r="D5" s="290">
        <v>22780</v>
      </c>
      <c r="E5" s="357">
        <f>+D5/C5</f>
        <v>0.5</v>
      </c>
      <c r="F5" s="290">
        <f>+C5-D5</f>
        <v>22780</v>
      </c>
      <c r="G5" s="268" t="s">
        <v>228</v>
      </c>
    </row>
    <row r="6" spans="2:14" x14ac:dyDescent="0.25">
      <c r="B6" s="292" t="s">
        <v>229</v>
      </c>
      <c r="C6" s="290">
        <f>+'Budget Sheet'!I8</f>
        <v>2364</v>
      </c>
      <c r="D6" s="290">
        <v>2364</v>
      </c>
      <c r="E6" s="357">
        <f>+D6/C6</f>
        <v>1</v>
      </c>
      <c r="F6" s="290">
        <f t="shared" ref="F6:F9" si="0">+C6-D6</f>
        <v>0</v>
      </c>
    </row>
    <row r="7" spans="2:14" x14ac:dyDescent="0.25">
      <c r="B7" s="292" t="s">
        <v>231</v>
      </c>
      <c r="C7" s="290">
        <f>+'Budget Sheet'!I9</f>
        <v>1322.5</v>
      </c>
      <c r="D7" s="290">
        <f>+'Apr - Jun 2024'!J13</f>
        <v>1322.5</v>
      </c>
      <c r="E7" s="357">
        <f>+D7/C7</f>
        <v>1</v>
      </c>
      <c r="F7" s="290">
        <f t="shared" si="0"/>
        <v>0</v>
      </c>
    </row>
    <row r="8" spans="2:14" s="268" customFormat="1" x14ac:dyDescent="0.25">
      <c r="B8" s="292" t="s">
        <v>16</v>
      </c>
      <c r="C8" s="290">
        <v>0</v>
      </c>
      <c r="D8" s="290">
        <v>3083.83</v>
      </c>
      <c r="E8" s="357"/>
      <c r="F8" s="290">
        <f t="shared" si="0"/>
        <v>-3083.83</v>
      </c>
      <c r="H8"/>
      <c r="I8"/>
      <c r="J8"/>
      <c r="K8"/>
      <c r="L8"/>
      <c r="M8"/>
      <c r="N8"/>
    </row>
    <row r="9" spans="2:14" s="268" customFormat="1" ht="15.75" thickBot="1" x14ac:dyDescent="0.3">
      <c r="B9" s="292" t="s">
        <v>15</v>
      </c>
      <c r="C9" s="290">
        <f>+'Budget Sheet'!I12</f>
        <v>271.5</v>
      </c>
      <c r="D9" s="290">
        <f>+'Apr - Jun 2024'!J25</f>
        <v>90.5</v>
      </c>
      <c r="E9" s="357"/>
      <c r="F9" s="290">
        <f t="shared" si="0"/>
        <v>181</v>
      </c>
      <c r="H9"/>
      <c r="I9"/>
      <c r="J9"/>
      <c r="K9"/>
      <c r="L9"/>
      <c r="M9"/>
      <c r="N9"/>
    </row>
    <row r="10" spans="2:14" s="268" customFormat="1" ht="16.5" thickTop="1" thickBot="1" x14ac:dyDescent="0.3">
      <c r="B10" s="293" t="s">
        <v>233</v>
      </c>
      <c r="C10" s="295">
        <f>SUM(C5:C9)</f>
        <v>49518</v>
      </c>
      <c r="D10" s="295">
        <f>SUM(D5:D9)</f>
        <v>29640.83</v>
      </c>
      <c r="E10" s="358">
        <f>+D10/C10</f>
        <v>0.59858697847247466</v>
      </c>
      <c r="F10" s="295">
        <f>+C10-D10</f>
        <v>19877.169999999998</v>
      </c>
      <c r="G10" s="385"/>
      <c r="H10"/>
      <c r="I10"/>
      <c r="J10"/>
      <c r="K10"/>
      <c r="L10"/>
      <c r="M10"/>
      <c r="N10"/>
    </row>
    <row r="11" spans="2:14" s="268" customFormat="1" ht="16.5" thickTop="1" thickBot="1" x14ac:dyDescent="0.3">
      <c r="B11" s="292" t="s">
        <v>234</v>
      </c>
      <c r="C11" s="290">
        <f>+'Budget Sheet'!I14</f>
        <v>2436.4000000000015</v>
      </c>
      <c r="D11" s="290">
        <f>+'Jan - March 2025'!AB32</f>
        <v>2000</v>
      </c>
      <c r="E11" s="357"/>
      <c r="F11" s="290">
        <f>+C11-D11</f>
        <v>436.40000000000146</v>
      </c>
      <c r="G11" s="268" t="s">
        <v>319</v>
      </c>
      <c r="H11"/>
      <c r="I11"/>
      <c r="J11"/>
      <c r="K11"/>
      <c r="L11"/>
      <c r="M11"/>
      <c r="N11"/>
    </row>
    <row r="12" spans="2:14" s="268" customFormat="1" ht="16.5" thickTop="1" thickBot="1" x14ac:dyDescent="0.3">
      <c r="B12" s="293" t="s">
        <v>236</v>
      </c>
      <c r="C12" s="295">
        <f>SUM(C10:C11)</f>
        <v>51954.400000000001</v>
      </c>
      <c r="D12" s="295">
        <f>SUM(D10:D11)</f>
        <v>31640.83</v>
      </c>
      <c r="E12" s="358"/>
      <c r="F12" s="295"/>
      <c r="G12" s="385"/>
      <c r="H12"/>
      <c r="I12"/>
      <c r="J12"/>
      <c r="K12"/>
      <c r="L12"/>
      <c r="M12"/>
      <c r="N12"/>
    </row>
    <row r="13" spans="2:14" s="268" customFormat="1" ht="15.75" thickTop="1" x14ac:dyDescent="0.25">
      <c r="B13" s="292"/>
      <c r="C13" s="290"/>
      <c r="D13" s="290"/>
      <c r="E13" s="357"/>
      <c r="F13" s="290"/>
      <c r="G13" s="385"/>
      <c r="H13"/>
      <c r="I13"/>
      <c r="J13"/>
      <c r="K13"/>
      <c r="L13"/>
      <c r="M13"/>
      <c r="N13"/>
    </row>
    <row r="14" spans="2:14" s="268" customFormat="1" x14ac:dyDescent="0.25">
      <c r="B14" s="292" t="s">
        <v>237</v>
      </c>
      <c r="C14" s="290"/>
      <c r="D14" s="290"/>
      <c r="E14" s="357"/>
      <c r="F14" s="290"/>
      <c r="H14"/>
      <c r="I14"/>
      <c r="J14"/>
      <c r="K14"/>
      <c r="L14"/>
      <c r="M14"/>
      <c r="N14"/>
    </row>
    <row r="15" spans="2:14" s="268" customFormat="1" x14ac:dyDescent="0.25">
      <c r="B15" s="296" t="s">
        <v>238</v>
      </c>
      <c r="C15" s="290">
        <f>+'Budget Sheet'!I20-C16-C17</f>
        <v>13780</v>
      </c>
      <c r="D15" s="290">
        <f>+'Apr - Jun 2024'!M6+'Apr - Jun 2024'!M22+'Apr - Jun 2024'!M27+'July - Sept 2024'!M8+'July - Sept 2024'!M16+'July - Sept 2024'!M25</f>
        <v>6422.86</v>
      </c>
      <c r="E15" s="357">
        <f>+D15/C15</f>
        <v>0.46610014513788095</v>
      </c>
      <c r="F15" s="290">
        <f t="shared" ref="F15:F17" si="1">+C15-D15</f>
        <v>7357.14</v>
      </c>
      <c r="G15" s="385"/>
      <c r="H15"/>
      <c r="I15"/>
      <c r="J15"/>
      <c r="K15"/>
      <c r="L15"/>
      <c r="M15"/>
      <c r="N15"/>
    </row>
    <row r="16" spans="2:14" s="268" customFormat="1" x14ac:dyDescent="0.25">
      <c r="B16" s="296" t="s">
        <v>239</v>
      </c>
      <c r="C16" s="290">
        <v>1195</v>
      </c>
      <c r="D16" s="290">
        <f>+'Apr - Jun 2024'!M7+'Apr - Jun 2024'!M23+'Apr - Jun 2024'!M28+'July - Sept 2024'!M9+'July - Sept 2024'!M17+'July - Sept 2024'!M26</f>
        <v>611.75</v>
      </c>
      <c r="E16" s="357">
        <f>+D16/C16</f>
        <v>0.51192468619246867</v>
      </c>
      <c r="F16" s="290">
        <f t="shared" si="1"/>
        <v>583.25</v>
      </c>
      <c r="G16" s="392"/>
      <c r="H16"/>
      <c r="I16"/>
      <c r="J16"/>
      <c r="K16"/>
      <c r="L16"/>
      <c r="M16"/>
      <c r="N16"/>
    </row>
    <row r="17" spans="2:14" s="268" customFormat="1" ht="15.75" thickBot="1" x14ac:dyDescent="0.3">
      <c r="B17" s="296" t="s">
        <v>240</v>
      </c>
      <c r="C17" s="290">
        <v>4525</v>
      </c>
      <c r="D17" s="290">
        <f>+'Apr - Jun 2024'!L8+'Apr - Jun 2024'!L24+'Apr - Jun 2024'!L29+'July - Sept 2024'!M10+'July - Sept 2024'!M18+'July - Sept 2024'!M27</f>
        <v>2583.6</v>
      </c>
      <c r="E17" s="357">
        <f>+D17/C17</f>
        <v>0.57096132596685079</v>
      </c>
      <c r="F17" s="290">
        <f t="shared" si="1"/>
        <v>1941.4</v>
      </c>
      <c r="H17"/>
      <c r="I17"/>
      <c r="J17"/>
      <c r="K17"/>
      <c r="L17"/>
      <c r="M17"/>
      <c r="N17"/>
    </row>
    <row r="18" spans="2:14" s="268" customFormat="1" ht="16.5" thickTop="1" thickBot="1" x14ac:dyDescent="0.3">
      <c r="B18" s="297" t="s">
        <v>241</v>
      </c>
      <c r="C18" s="295">
        <f>SUM(C15:C17)</f>
        <v>19500</v>
      </c>
      <c r="D18" s="295">
        <f>SUM(D15:D17)</f>
        <v>9618.2099999999991</v>
      </c>
      <c r="E18" s="358">
        <f>+D18/C18</f>
        <v>0.4932415384615384</v>
      </c>
      <c r="F18" s="294">
        <f>+C18-D18</f>
        <v>9881.7900000000009</v>
      </c>
      <c r="H18"/>
      <c r="I18"/>
      <c r="J18"/>
      <c r="K18"/>
      <c r="L18"/>
      <c r="M18"/>
      <c r="N18"/>
    </row>
    <row r="19" spans="2:14" s="268" customFormat="1" ht="15.75" thickTop="1" x14ac:dyDescent="0.25">
      <c r="B19"/>
      <c r="C19" s="290"/>
      <c r="D19" s="290"/>
      <c r="E19" s="357"/>
      <c r="F19" s="290"/>
      <c r="H19"/>
      <c r="I19"/>
      <c r="J19" s="476"/>
      <c r="K19"/>
      <c r="L19"/>
      <c r="M19"/>
      <c r="N19"/>
    </row>
    <row r="20" spans="2:14" x14ac:dyDescent="0.25">
      <c r="B20" s="292" t="s">
        <v>243</v>
      </c>
      <c r="C20" s="290"/>
      <c r="D20" s="290"/>
      <c r="F20" s="290"/>
    </row>
    <row r="21" spans="2:14" x14ac:dyDescent="0.25">
      <c r="B21" s="296" t="s">
        <v>244</v>
      </c>
      <c r="C21" s="290">
        <v>630</v>
      </c>
      <c r="D21" s="290">
        <f>+'Apr - Jun 2024'!N6+'Apr - Jun 2024'!N7+'Apr - Jun 2024'!N22+'Apr - Jun 2024'!N23+'Apr - Jun 2024'!N27+'Apr - Jun 2024'!N28+'July - Sept 2024'!N8+'July - Sept 2024'!N16+'July - Sept 2024'!N25</f>
        <v>319.38</v>
      </c>
      <c r="E21" s="357">
        <f t="shared" ref="E21:E30" si="2">+D21/C21</f>
        <v>0.50695238095238093</v>
      </c>
      <c r="F21" s="290">
        <f t="shared" ref="F21:F29" si="3">+C21-D21</f>
        <v>310.62</v>
      </c>
      <c r="G21" s="296"/>
      <c r="H21" s="473"/>
    </row>
    <row r="22" spans="2:14" x14ac:dyDescent="0.25">
      <c r="B22" s="296" t="s">
        <v>245</v>
      </c>
      <c r="C22" s="290">
        <v>683</v>
      </c>
      <c r="D22" s="290">
        <f>+'Apr - Jun 2024'!N11</f>
        <v>660</v>
      </c>
      <c r="E22" s="357">
        <f t="shared" si="2"/>
        <v>0.96632503660322111</v>
      </c>
      <c r="F22" s="290">
        <f t="shared" si="3"/>
        <v>23</v>
      </c>
      <c r="G22" s="296" t="s">
        <v>320</v>
      </c>
      <c r="H22" s="473"/>
    </row>
    <row r="23" spans="2:14" x14ac:dyDescent="0.25">
      <c r="B23" s="296" t="s">
        <v>247</v>
      </c>
      <c r="C23" s="290">
        <v>3518</v>
      </c>
      <c r="D23" s="290">
        <f>+'July - Sept 2024'!N29</f>
        <v>3350</v>
      </c>
      <c r="E23" s="357">
        <f t="shared" si="2"/>
        <v>0.95224559408754972</v>
      </c>
      <c r="F23" s="290">
        <f t="shared" si="3"/>
        <v>168</v>
      </c>
      <c r="G23" s="296" t="s">
        <v>321</v>
      </c>
      <c r="H23" s="473"/>
      <c r="N23" s="76"/>
    </row>
    <row r="24" spans="2:14" x14ac:dyDescent="0.25">
      <c r="B24" s="296" t="s">
        <v>249</v>
      </c>
      <c r="C24" s="290">
        <v>60</v>
      </c>
      <c r="D24" s="290">
        <v>0</v>
      </c>
      <c r="E24" s="357">
        <f t="shared" si="2"/>
        <v>0</v>
      </c>
      <c r="F24" s="290">
        <f t="shared" si="3"/>
        <v>60</v>
      </c>
      <c r="G24" s="296"/>
      <c r="H24" s="473"/>
      <c r="N24" s="76"/>
    </row>
    <row r="25" spans="2:14" x14ac:dyDescent="0.25">
      <c r="B25" s="296" t="s">
        <v>250</v>
      </c>
      <c r="C25" s="290">
        <v>39.5</v>
      </c>
      <c r="D25" s="290">
        <v>0</v>
      </c>
      <c r="E25" s="357">
        <f t="shared" si="2"/>
        <v>0</v>
      </c>
      <c r="F25" s="290">
        <f t="shared" si="3"/>
        <v>39.5</v>
      </c>
      <c r="G25" s="296"/>
      <c r="H25" s="473"/>
      <c r="N25" s="76"/>
    </row>
    <row r="26" spans="2:14" x14ac:dyDescent="0.25">
      <c r="B26" s="296" t="s">
        <v>251</v>
      </c>
      <c r="C26" s="290">
        <v>450</v>
      </c>
      <c r="D26" s="290">
        <f>+'July - Sept 2024'!N15</f>
        <v>63.07</v>
      </c>
      <c r="E26" s="357">
        <f t="shared" si="2"/>
        <v>0.14015555555555556</v>
      </c>
      <c r="F26" s="290">
        <f t="shared" si="3"/>
        <v>386.93</v>
      </c>
      <c r="G26" s="296"/>
      <c r="H26" s="473"/>
      <c r="N26" s="76"/>
    </row>
    <row r="27" spans="2:14" x14ac:dyDescent="0.25">
      <c r="B27" s="296" t="s">
        <v>252</v>
      </c>
      <c r="C27" s="290">
        <v>0</v>
      </c>
      <c r="D27" s="290">
        <v>0</v>
      </c>
      <c r="E27" s="357">
        <v>0</v>
      </c>
      <c r="F27" s="290">
        <f t="shared" si="3"/>
        <v>0</v>
      </c>
      <c r="G27" s="296"/>
      <c r="H27" s="473"/>
      <c r="N27" s="76"/>
    </row>
    <row r="28" spans="2:14" x14ac:dyDescent="0.25">
      <c r="B28" s="296" t="s">
        <v>253</v>
      </c>
      <c r="C28" s="290">
        <v>119.5</v>
      </c>
      <c r="D28" s="290">
        <f>+'Oct - Dec 2024'!N37+'Jan - March 2025'!N10</f>
        <v>0</v>
      </c>
      <c r="E28" s="357">
        <f t="shared" si="2"/>
        <v>0</v>
      </c>
      <c r="F28" s="290">
        <f t="shared" si="3"/>
        <v>119.5</v>
      </c>
      <c r="G28" s="296"/>
      <c r="H28" s="473"/>
      <c r="N28" s="361"/>
    </row>
    <row r="29" spans="2:14" ht="15.75" thickBot="1" x14ac:dyDescent="0.3">
      <c r="B29" s="296" t="s">
        <v>254</v>
      </c>
      <c r="C29" s="290">
        <v>0</v>
      </c>
      <c r="D29" s="290">
        <v>0</v>
      </c>
      <c r="F29" s="290">
        <f t="shared" si="3"/>
        <v>0</v>
      </c>
      <c r="N29" s="76"/>
    </row>
    <row r="30" spans="2:14" ht="16.5" thickTop="1" thickBot="1" x14ac:dyDescent="0.3">
      <c r="B30" s="297" t="s">
        <v>255</v>
      </c>
      <c r="C30" s="295">
        <f>SUM(C21:C29)</f>
        <v>5500</v>
      </c>
      <c r="D30" s="295">
        <f>SUM(D21:D29)</f>
        <v>4392.45</v>
      </c>
      <c r="E30" s="358">
        <f t="shared" si="2"/>
        <v>0.79862727272727274</v>
      </c>
      <c r="F30" s="295">
        <f>+C30-D30</f>
        <v>1107.5500000000002</v>
      </c>
      <c r="H30" s="474"/>
      <c r="N30" s="76"/>
    </row>
    <row r="31" spans="2:14" ht="15.75" thickTop="1" x14ac:dyDescent="0.25">
      <c r="C31" s="290"/>
      <c r="D31" s="290"/>
      <c r="F31" s="290"/>
      <c r="J31" s="381"/>
      <c r="N31" s="76"/>
    </row>
    <row r="32" spans="2:14" x14ac:dyDescent="0.25">
      <c r="B32" s="292" t="s">
        <v>256</v>
      </c>
      <c r="C32" s="290"/>
      <c r="D32" s="290"/>
      <c r="F32" s="290"/>
      <c r="N32" s="76"/>
    </row>
    <row r="33" spans="2:14" x14ac:dyDescent="0.25">
      <c r="B33" s="298" t="s">
        <v>257</v>
      </c>
      <c r="C33" s="290">
        <v>2035</v>
      </c>
      <c r="D33" s="584">
        <v>1357</v>
      </c>
      <c r="E33" s="357">
        <f t="shared" ref="E33:E40" si="4">+D33/C33</f>
        <v>0.66683046683046687</v>
      </c>
      <c r="F33" s="290">
        <f t="shared" ref="F33:F39" si="5">+C33-D33</f>
        <v>678</v>
      </c>
      <c r="G33"/>
      <c r="H33" s="473"/>
      <c r="N33" s="76"/>
    </row>
    <row r="34" spans="2:14" x14ac:dyDescent="0.25">
      <c r="B34" s="298" t="s">
        <v>258</v>
      </c>
      <c r="C34" s="290">
        <v>6384</v>
      </c>
      <c r="D34" s="290">
        <f>5049.1</f>
        <v>5049.1000000000004</v>
      </c>
      <c r="E34" s="357">
        <f t="shared" si="4"/>
        <v>0.79089912280701757</v>
      </c>
      <c r="F34" s="290">
        <f t="shared" si="5"/>
        <v>1334.8999999999996</v>
      </c>
      <c r="G34"/>
      <c r="H34" s="473"/>
      <c r="I34" s="381"/>
      <c r="N34" s="76"/>
    </row>
    <row r="35" spans="2:14" x14ac:dyDescent="0.25">
      <c r="B35" s="298" t="s">
        <v>259</v>
      </c>
      <c r="C35" s="290">
        <v>572</v>
      </c>
      <c r="D35" s="290">
        <f>439</f>
        <v>439</v>
      </c>
      <c r="E35" s="357">
        <f t="shared" si="4"/>
        <v>0.7674825174825175</v>
      </c>
      <c r="F35" s="290">
        <f t="shared" si="5"/>
        <v>133</v>
      </c>
      <c r="G35"/>
      <c r="H35" s="473"/>
      <c r="N35" s="76"/>
    </row>
    <row r="36" spans="2:14" x14ac:dyDescent="0.25">
      <c r="B36" s="298" t="s">
        <v>260</v>
      </c>
      <c r="C36" s="290">
        <v>571.5</v>
      </c>
      <c r="D36" s="290">
        <v>405.75</v>
      </c>
      <c r="E36" s="357">
        <f t="shared" si="4"/>
        <v>0.70997375328083989</v>
      </c>
      <c r="F36" s="290">
        <f t="shared" si="5"/>
        <v>165.75</v>
      </c>
      <c r="G36"/>
      <c r="H36" s="473"/>
      <c r="N36" s="76"/>
    </row>
    <row r="37" spans="2:14" x14ac:dyDescent="0.25">
      <c r="B37" s="298" t="s">
        <v>261</v>
      </c>
      <c r="C37" s="290">
        <v>1416</v>
      </c>
      <c r="D37" s="290">
        <v>400</v>
      </c>
      <c r="E37" s="357">
        <f t="shared" si="4"/>
        <v>0.2824858757062147</v>
      </c>
      <c r="F37" s="290">
        <f t="shared" si="5"/>
        <v>1016</v>
      </c>
      <c r="G37"/>
      <c r="H37" s="473"/>
      <c r="N37" s="76"/>
    </row>
    <row r="38" spans="2:14" x14ac:dyDescent="0.25">
      <c r="B38" s="298" t="s">
        <v>262</v>
      </c>
      <c r="C38" s="290">
        <v>1474.5</v>
      </c>
      <c r="D38" s="290">
        <v>742</v>
      </c>
      <c r="E38" s="357">
        <f t="shared" si="4"/>
        <v>0.5032214309935571</v>
      </c>
      <c r="F38" s="290">
        <f t="shared" si="5"/>
        <v>732.5</v>
      </c>
      <c r="G38"/>
      <c r="H38" s="473"/>
      <c r="N38" s="76"/>
    </row>
    <row r="39" spans="2:14" ht="15.75" thickBot="1" x14ac:dyDescent="0.3">
      <c r="B39" s="298" t="s">
        <v>263</v>
      </c>
      <c r="C39" s="290">
        <v>2400</v>
      </c>
      <c r="D39" s="290"/>
      <c r="E39" s="380">
        <f>+D39/C39</f>
        <v>0</v>
      </c>
      <c r="F39" s="290">
        <f t="shared" si="5"/>
        <v>2400</v>
      </c>
      <c r="G39" t="s">
        <v>322</v>
      </c>
      <c r="H39" s="473"/>
      <c r="J39" s="384"/>
      <c r="K39" s="381"/>
      <c r="N39" s="76"/>
    </row>
    <row r="40" spans="2:14" ht="16.5" thickTop="1" thickBot="1" x14ac:dyDescent="0.3">
      <c r="B40" s="299" t="s">
        <v>265</v>
      </c>
      <c r="C40" s="295">
        <f>SUM(C33:C39)</f>
        <v>14853</v>
      </c>
      <c r="D40" s="295">
        <f>+'July - Sept 2024'!O34</f>
        <v>8392.61</v>
      </c>
      <c r="E40" s="358">
        <f t="shared" si="4"/>
        <v>0.56504477209991255</v>
      </c>
      <c r="F40" s="295">
        <f>+C40-D40</f>
        <v>6460.3899999999994</v>
      </c>
      <c r="G40"/>
      <c r="H40" s="473"/>
      <c r="N40" s="76"/>
    </row>
    <row r="41" spans="2:14" ht="15.75" thickTop="1" x14ac:dyDescent="0.25">
      <c r="B41" s="298"/>
      <c r="C41" s="290"/>
      <c r="D41" s="290">
        <f>SUM(D33:D39)-D40</f>
        <v>0.23999999999978172</v>
      </c>
      <c r="E41" s="472"/>
      <c r="F41" s="290"/>
      <c r="G41"/>
      <c r="H41" s="349"/>
      <c r="N41" s="76"/>
    </row>
    <row r="42" spans="2:14" x14ac:dyDescent="0.25">
      <c r="B42" s="298"/>
      <c r="C42" s="290"/>
      <c r="D42" s="290"/>
      <c r="F42" s="290"/>
      <c r="G42" s="381"/>
      <c r="H42" s="349"/>
      <c r="N42" s="76"/>
    </row>
    <row r="43" spans="2:14" x14ac:dyDescent="0.25">
      <c r="B43" s="300" t="s">
        <v>267</v>
      </c>
      <c r="C43" s="290"/>
      <c r="D43" s="290"/>
      <c r="F43" s="290"/>
      <c r="G43"/>
      <c r="H43" s="349"/>
      <c r="N43" s="76"/>
    </row>
    <row r="44" spans="2:14" x14ac:dyDescent="0.25">
      <c r="B44" s="298" t="s">
        <v>268</v>
      </c>
      <c r="C44" s="290">
        <f>+'Budget Sheet'!I23-'Q2 YTD Budget Report'!C45-'Q2 YTD Budget Report'!C46</f>
        <v>1245</v>
      </c>
      <c r="D44" s="290">
        <f>+'Apr - Jun 2024'!P19</f>
        <v>156</v>
      </c>
      <c r="E44" s="357">
        <f t="shared" ref="E44:E48" si="6">+D44/C44</f>
        <v>0.12530120481927712</v>
      </c>
      <c r="F44" s="290">
        <f t="shared" ref="F44:F47" si="7">+C44-D44</f>
        <v>1089</v>
      </c>
      <c r="G44" t="s">
        <v>323</v>
      </c>
      <c r="H44" s="349"/>
      <c r="N44" s="76"/>
    </row>
    <row r="45" spans="2:14" x14ac:dyDescent="0.25">
      <c r="B45" s="298" t="s">
        <v>269</v>
      </c>
      <c r="C45" s="290">
        <v>35</v>
      </c>
      <c r="D45" s="290">
        <f>+'Jan - March 2025'!P11</f>
        <v>0</v>
      </c>
      <c r="E45" s="357">
        <f t="shared" si="6"/>
        <v>0</v>
      </c>
      <c r="F45" s="290">
        <f t="shared" si="7"/>
        <v>35</v>
      </c>
      <c r="G45"/>
      <c r="H45" s="349"/>
      <c r="N45" s="76"/>
    </row>
    <row r="46" spans="2:14" x14ac:dyDescent="0.25">
      <c r="B46" s="298" t="s">
        <v>270</v>
      </c>
      <c r="C46" s="290">
        <v>220</v>
      </c>
      <c r="D46" s="290">
        <f>+'Jan - March 2025'!P24</f>
        <v>0</v>
      </c>
      <c r="E46" s="357">
        <f t="shared" si="6"/>
        <v>0</v>
      </c>
      <c r="F46" s="290">
        <f t="shared" si="7"/>
        <v>220</v>
      </c>
      <c r="N46" s="76"/>
    </row>
    <row r="47" spans="2:14" x14ac:dyDescent="0.25">
      <c r="B47" s="298" t="s">
        <v>271</v>
      </c>
      <c r="C47" s="290">
        <v>0</v>
      </c>
      <c r="D47" s="290">
        <f>+'Apr - Jun 2024'!P14</f>
        <v>174</v>
      </c>
      <c r="F47" s="290">
        <f t="shared" si="7"/>
        <v>-174</v>
      </c>
      <c r="G47" s="268" t="s">
        <v>324</v>
      </c>
      <c r="N47" s="76"/>
    </row>
    <row r="48" spans="2:14" ht="16.5" thickTop="1" thickBot="1" x14ac:dyDescent="0.3">
      <c r="B48" s="299" t="s">
        <v>272</v>
      </c>
      <c r="C48" s="295">
        <f>SUM(C44:C47)</f>
        <v>1500</v>
      </c>
      <c r="D48" s="295">
        <f>+'Jan - March 2025'!P32</f>
        <v>3100</v>
      </c>
      <c r="E48" s="358">
        <f t="shared" si="6"/>
        <v>2.0666666666666669</v>
      </c>
      <c r="F48" s="295">
        <f>+C48-D48</f>
        <v>-1600</v>
      </c>
      <c r="H48" s="271"/>
      <c r="N48" s="76"/>
    </row>
    <row r="49" spans="2:14" ht="16.5" thickTop="1" thickBot="1" x14ac:dyDescent="0.3">
      <c r="B49" s="298"/>
      <c r="C49" s="290"/>
      <c r="D49" s="290"/>
      <c r="F49" s="290"/>
      <c r="N49" s="76"/>
    </row>
    <row r="50" spans="2:14" ht="16.5" thickTop="1" thickBot="1" x14ac:dyDescent="0.3">
      <c r="B50" s="299" t="s">
        <v>88</v>
      </c>
      <c r="C50" s="295">
        <f>+'Budget Sheet'!I24</f>
        <v>80</v>
      </c>
      <c r="D50" s="295">
        <f>+'Jan - March 2025'!Q32</f>
        <v>71.400000000000006</v>
      </c>
      <c r="E50" s="358">
        <f t="shared" ref="E50:E51" si="8">+D50/C50</f>
        <v>0.89250000000000007</v>
      </c>
      <c r="F50" s="295">
        <f>+C50-D50</f>
        <v>8.5999999999999943</v>
      </c>
      <c r="H50" s="271"/>
      <c r="N50" s="76"/>
    </row>
    <row r="51" spans="2:14" ht="16.5" thickTop="1" thickBot="1" x14ac:dyDescent="0.3">
      <c r="B51" s="299" t="s">
        <v>274</v>
      </c>
      <c r="C51" s="295">
        <f>+'Budget Sheet'!I25</f>
        <v>650</v>
      </c>
      <c r="D51" s="295">
        <f>+'Jan - March 2025'!R32</f>
        <v>635</v>
      </c>
      <c r="E51" s="358">
        <f t="shared" si="8"/>
        <v>0.97692307692307689</v>
      </c>
      <c r="F51" s="295">
        <f>+C51-D51</f>
        <v>15</v>
      </c>
      <c r="H51" s="271"/>
      <c r="N51" s="76"/>
    </row>
    <row r="52" spans="2:14" ht="15.75" thickTop="1" x14ac:dyDescent="0.25">
      <c r="B52" s="296"/>
      <c r="C52" s="290"/>
      <c r="D52" s="290"/>
      <c r="F52" s="290"/>
      <c r="N52" s="76"/>
    </row>
    <row r="53" spans="2:14" x14ac:dyDescent="0.25">
      <c r="B53" s="292" t="s">
        <v>276</v>
      </c>
      <c r="C53" s="290"/>
      <c r="D53" s="290"/>
      <c r="F53" s="290"/>
      <c r="N53" s="115"/>
    </row>
    <row r="54" spans="2:14" x14ac:dyDescent="0.25">
      <c r="B54" s="296" t="s">
        <v>277</v>
      </c>
      <c r="C54" s="290">
        <f>+'Budget Sheet'!I26</f>
        <v>650</v>
      </c>
      <c r="D54" s="290">
        <f>+'Apr - Jun 2024'!S39</f>
        <v>790.17</v>
      </c>
      <c r="E54" s="357">
        <f t="shared" ref="E54:E60" si="9">+D54/C54</f>
        <v>1.2156461538461538</v>
      </c>
      <c r="F54" s="290">
        <f t="shared" ref="F54:F59" si="10">+C54-D54</f>
        <v>-140.16999999999996</v>
      </c>
      <c r="N54" s="115"/>
    </row>
    <row r="55" spans="2:14" x14ac:dyDescent="0.25">
      <c r="B55" s="296" t="s">
        <v>85</v>
      </c>
      <c r="C55" s="290">
        <v>35</v>
      </c>
      <c r="D55" s="290">
        <f>+'Apr - Jun 2024'!T34</f>
        <v>35</v>
      </c>
      <c r="E55" s="357">
        <f t="shared" si="9"/>
        <v>1</v>
      </c>
      <c r="F55" s="290">
        <f t="shared" si="10"/>
        <v>0</v>
      </c>
      <c r="N55" s="115"/>
    </row>
    <row r="56" spans="2:14" x14ac:dyDescent="0.25">
      <c r="B56" s="296" t="s">
        <v>280</v>
      </c>
      <c r="C56" s="290">
        <v>627</v>
      </c>
      <c r="D56" s="290">
        <v>0</v>
      </c>
      <c r="E56" s="357">
        <f t="shared" si="9"/>
        <v>0</v>
      </c>
      <c r="F56" s="290">
        <f t="shared" si="10"/>
        <v>627</v>
      </c>
      <c r="G56" s="268" t="s">
        <v>325</v>
      </c>
      <c r="N56" s="115"/>
    </row>
    <row r="57" spans="2:14" x14ac:dyDescent="0.25">
      <c r="B57" s="296" t="s">
        <v>59</v>
      </c>
      <c r="C57" s="290">
        <v>183</v>
      </c>
      <c r="D57" s="290">
        <f>+'Apr - Jun 2024'!T17</f>
        <v>183</v>
      </c>
      <c r="E57" s="357">
        <f t="shared" si="9"/>
        <v>1</v>
      </c>
      <c r="F57" s="290">
        <f t="shared" si="10"/>
        <v>0</v>
      </c>
      <c r="N57" s="115"/>
    </row>
    <row r="58" spans="2:14" x14ac:dyDescent="0.25">
      <c r="B58" s="296" t="s">
        <v>282</v>
      </c>
      <c r="C58" s="290">
        <v>70</v>
      </c>
      <c r="D58" s="290">
        <v>67.41</v>
      </c>
      <c r="E58" s="357">
        <f>+D58/(C58+C59)</f>
        <v>0.26435294117647057</v>
      </c>
      <c r="F58" s="290">
        <f t="shared" si="10"/>
        <v>2.5900000000000034</v>
      </c>
      <c r="N58" s="115"/>
    </row>
    <row r="59" spans="2:14" ht="15.75" thickBot="1" x14ac:dyDescent="0.3">
      <c r="B59" s="296" t="s">
        <v>283</v>
      </c>
      <c r="C59" s="290">
        <v>185</v>
      </c>
      <c r="D59" s="290">
        <v>185.08</v>
      </c>
      <c r="E59" s="357">
        <f>+D59/(C59+C60)</f>
        <v>9.5648578811369511E-2</v>
      </c>
      <c r="F59" s="290">
        <f t="shared" si="10"/>
        <v>-8.0000000000012506E-2</v>
      </c>
      <c r="N59" s="115"/>
    </row>
    <row r="60" spans="2:14" ht="16.5" thickTop="1" thickBot="1" x14ac:dyDescent="0.3">
      <c r="B60" s="293" t="s">
        <v>284</v>
      </c>
      <c r="C60" s="295">
        <f>SUM(C54:C59)</f>
        <v>1750</v>
      </c>
      <c r="D60" s="295">
        <f>+'Jan - March 2025'!S32+'Jan - March 2025'!T32</f>
        <v>1870.8899999999999</v>
      </c>
      <c r="E60" s="358">
        <f t="shared" si="9"/>
        <v>1.06908</v>
      </c>
      <c r="F60" s="295">
        <f>+C60-D60</f>
        <v>-120.88999999999987</v>
      </c>
      <c r="H60" s="271"/>
      <c r="N60" s="115"/>
    </row>
    <row r="61" spans="2:14" ht="15.75" thickTop="1" x14ac:dyDescent="0.25">
      <c r="C61" s="290"/>
      <c r="D61" s="290"/>
      <c r="F61" s="290"/>
      <c r="H61" s="271"/>
      <c r="N61" s="115"/>
    </row>
    <row r="62" spans="2:14" x14ac:dyDescent="0.25">
      <c r="B62" s="292" t="s">
        <v>285</v>
      </c>
      <c r="C62" s="290"/>
      <c r="D62" s="290"/>
      <c r="F62" s="290"/>
      <c r="N62" s="115"/>
    </row>
    <row r="63" spans="2:14" x14ac:dyDescent="0.25">
      <c r="B63" s="296" t="s">
        <v>286</v>
      </c>
      <c r="C63" s="290">
        <f>+'Budget Sheet'!I28</f>
        <v>298</v>
      </c>
      <c r="D63" s="290">
        <f>+'Jan - March 2025'!U32</f>
        <v>300</v>
      </c>
      <c r="E63" s="357">
        <f t="shared" ref="E63:E66" si="11">+D63/C63</f>
        <v>1.0067114093959733</v>
      </c>
      <c r="F63" s="290">
        <f t="shared" ref="F63:F65" si="12">+C63-D63</f>
        <v>-2</v>
      </c>
      <c r="G63" s="268" t="s">
        <v>326</v>
      </c>
      <c r="N63" s="115"/>
    </row>
    <row r="64" spans="2:14" x14ac:dyDescent="0.25">
      <c r="B64" s="296" t="s">
        <v>327</v>
      </c>
      <c r="C64" s="290">
        <v>0</v>
      </c>
      <c r="D64" s="290">
        <v>0</v>
      </c>
      <c r="F64" s="290">
        <f t="shared" si="12"/>
        <v>0</v>
      </c>
      <c r="N64" s="115"/>
    </row>
    <row r="65" spans="2:14" ht="15.75" thickBot="1" x14ac:dyDescent="0.3">
      <c r="B65" s="296" t="s">
        <v>15</v>
      </c>
      <c r="C65" s="290">
        <v>0</v>
      </c>
      <c r="D65" s="290">
        <v>0</v>
      </c>
      <c r="F65" s="290">
        <f t="shared" si="12"/>
        <v>0</v>
      </c>
      <c r="N65" s="115"/>
    </row>
    <row r="66" spans="2:14" ht="16.5" thickTop="1" thickBot="1" x14ac:dyDescent="0.3">
      <c r="B66" s="293" t="s">
        <v>287</v>
      </c>
      <c r="C66" s="295">
        <f>SUM(C63:C65)</f>
        <v>298</v>
      </c>
      <c r="D66" s="295">
        <f>+'Jan - March 2025'!U32</f>
        <v>300</v>
      </c>
      <c r="E66" s="358">
        <f t="shared" si="11"/>
        <v>1.0067114093959733</v>
      </c>
      <c r="F66" s="295">
        <f>+C66-D66</f>
        <v>-2</v>
      </c>
      <c r="H66" s="392"/>
      <c r="N66" s="115"/>
    </row>
    <row r="67" spans="2:14" ht="15.75" thickTop="1" x14ac:dyDescent="0.25">
      <c r="C67" s="290"/>
      <c r="D67" s="290"/>
      <c r="F67" s="290"/>
      <c r="N67" s="115"/>
    </row>
    <row r="68" spans="2:14" x14ac:dyDescent="0.25">
      <c r="B68" s="292" t="s">
        <v>288</v>
      </c>
      <c r="C68" s="290"/>
      <c r="D68" s="290"/>
      <c r="F68" s="290"/>
      <c r="N68" s="115"/>
    </row>
    <row r="69" spans="2:14" x14ac:dyDescent="0.25">
      <c r="B69" s="296" t="s">
        <v>289</v>
      </c>
      <c r="C69" s="290">
        <v>292</v>
      </c>
      <c r="D69" s="290">
        <v>0</v>
      </c>
      <c r="E69" s="357">
        <f t="shared" ref="E69:E75" si="13">+D69/C69</f>
        <v>0</v>
      </c>
      <c r="F69" s="290">
        <f t="shared" ref="F69:F74" si="14">+C69-D69</f>
        <v>292</v>
      </c>
      <c r="N69" s="115"/>
    </row>
    <row r="70" spans="2:14" x14ac:dyDescent="0.25">
      <c r="B70" s="296" t="s">
        <v>290</v>
      </c>
      <c r="C70" s="290">
        <v>60</v>
      </c>
      <c r="D70" s="290">
        <v>0</v>
      </c>
      <c r="E70" s="357">
        <f t="shared" si="13"/>
        <v>0</v>
      </c>
      <c r="F70" s="290">
        <f t="shared" si="14"/>
        <v>60</v>
      </c>
      <c r="N70" s="115"/>
    </row>
    <row r="71" spans="2:14" x14ac:dyDescent="0.25">
      <c r="B71" s="296" t="s">
        <v>291</v>
      </c>
      <c r="C71" s="290">
        <v>30</v>
      </c>
      <c r="D71" s="290">
        <v>0</v>
      </c>
      <c r="E71" s="357">
        <f t="shared" si="13"/>
        <v>0</v>
      </c>
      <c r="F71" s="290">
        <f t="shared" si="14"/>
        <v>30</v>
      </c>
      <c r="N71" s="115"/>
    </row>
    <row r="72" spans="2:14" x14ac:dyDescent="0.25">
      <c r="B72" s="296" t="s">
        <v>292</v>
      </c>
      <c r="C72" s="290">
        <v>97.5</v>
      </c>
      <c r="D72" s="290">
        <v>0</v>
      </c>
      <c r="E72" s="357">
        <f t="shared" si="13"/>
        <v>0</v>
      </c>
      <c r="F72" s="290">
        <f t="shared" si="14"/>
        <v>97.5</v>
      </c>
      <c r="N72" s="115"/>
    </row>
    <row r="73" spans="2:14" x14ac:dyDescent="0.25">
      <c r="B73" s="296" t="s">
        <v>293</v>
      </c>
      <c r="C73" s="290">
        <v>1207</v>
      </c>
      <c r="D73" s="290">
        <v>0</v>
      </c>
      <c r="E73" s="357">
        <f t="shared" si="13"/>
        <v>0</v>
      </c>
      <c r="F73" s="290">
        <f t="shared" si="14"/>
        <v>1207</v>
      </c>
      <c r="N73" s="115"/>
    </row>
    <row r="74" spans="2:14" x14ac:dyDescent="0.25">
      <c r="B74" s="296" t="s">
        <v>15</v>
      </c>
      <c r="C74" s="290">
        <v>600</v>
      </c>
      <c r="D74" s="290">
        <v>0</v>
      </c>
      <c r="E74" s="357">
        <f t="shared" si="13"/>
        <v>0</v>
      </c>
      <c r="F74" s="290">
        <f t="shared" si="14"/>
        <v>600</v>
      </c>
      <c r="N74" s="115"/>
    </row>
    <row r="75" spans="2:14" x14ac:dyDescent="0.25">
      <c r="B75" s="293" t="s">
        <v>294</v>
      </c>
      <c r="C75" s="295">
        <f>SUM(C69:C74)</f>
        <v>2286.5</v>
      </c>
      <c r="D75" s="295">
        <f>+'July - Sept 2024'!V34</f>
        <v>0</v>
      </c>
      <c r="E75" s="358">
        <f t="shared" si="13"/>
        <v>0</v>
      </c>
      <c r="F75" s="295">
        <f>+C75-D75</f>
        <v>2286.5</v>
      </c>
      <c r="H75" s="392"/>
    </row>
    <row r="76" spans="2:14" x14ac:dyDescent="0.25">
      <c r="C76" s="290"/>
      <c r="D76" s="290"/>
      <c r="F76" s="290"/>
    </row>
    <row r="77" spans="2:14" x14ac:dyDescent="0.25">
      <c r="B77" s="292" t="s">
        <v>296</v>
      </c>
      <c r="C77" s="290"/>
      <c r="D77" s="290"/>
      <c r="F77" s="290"/>
    </row>
    <row r="78" spans="2:14" x14ac:dyDescent="0.25">
      <c r="B78" s="296" t="s">
        <v>297</v>
      </c>
      <c r="C78" s="290">
        <f>+'Budget Sheet'!I30</f>
        <v>3150</v>
      </c>
      <c r="D78" s="290">
        <f>+'Jan - March 2025'!W32</f>
        <v>3000</v>
      </c>
      <c r="E78" s="357">
        <f t="shared" ref="E78:E82" si="15">+D78/C78</f>
        <v>0.95238095238095233</v>
      </c>
      <c r="F78" s="290">
        <f t="shared" ref="F78:F81" si="16">+C78-D78</f>
        <v>150</v>
      </c>
    </row>
    <row r="79" spans="2:14" x14ac:dyDescent="0.25">
      <c r="B79" s="296" t="s">
        <v>299</v>
      </c>
      <c r="C79" s="290">
        <v>200</v>
      </c>
      <c r="D79" s="290">
        <v>0</v>
      </c>
      <c r="E79" s="357">
        <f t="shared" si="15"/>
        <v>0</v>
      </c>
      <c r="F79" s="290">
        <f t="shared" si="16"/>
        <v>200</v>
      </c>
    </row>
    <row r="80" spans="2:14" x14ac:dyDescent="0.25">
      <c r="B80" s="296" t="s">
        <v>300</v>
      </c>
      <c r="C80" s="290">
        <v>800</v>
      </c>
      <c r="D80" s="290">
        <v>0</v>
      </c>
      <c r="E80" s="357">
        <f t="shared" si="15"/>
        <v>0</v>
      </c>
      <c r="F80" s="290">
        <f t="shared" si="16"/>
        <v>800</v>
      </c>
    </row>
    <row r="81" spans="2:8" ht="15.75" thickBot="1" x14ac:dyDescent="0.3">
      <c r="B81" s="296" t="s">
        <v>301</v>
      </c>
      <c r="C81" s="290">
        <v>0</v>
      </c>
      <c r="D81" s="290">
        <v>0</v>
      </c>
      <c r="F81" s="290">
        <f t="shared" si="16"/>
        <v>0</v>
      </c>
    </row>
    <row r="82" spans="2:8" ht="16.5" thickTop="1" thickBot="1" x14ac:dyDescent="0.3">
      <c r="B82" s="302" t="s">
        <v>296</v>
      </c>
      <c r="C82" s="295">
        <f>SUM(C78:C81)</f>
        <v>4150</v>
      </c>
      <c r="D82" s="295">
        <f>+'Jan - March 2025'!W32+'Jan - March 2025'!Y32</f>
        <v>3032.68</v>
      </c>
      <c r="E82" s="358">
        <f t="shared" si="15"/>
        <v>0.73076626506024089</v>
      </c>
      <c r="F82" s="295">
        <f>+C82-D82</f>
        <v>1117.3200000000002</v>
      </c>
    </row>
    <row r="83" spans="2:8" ht="15.75" thickTop="1" x14ac:dyDescent="0.25">
      <c r="C83" s="290"/>
      <c r="D83" s="290"/>
      <c r="F83" s="290"/>
      <c r="H83" s="392"/>
    </row>
    <row r="84" spans="2:8" x14ac:dyDescent="0.25">
      <c r="B84" s="292" t="s">
        <v>302</v>
      </c>
      <c r="C84" s="290"/>
      <c r="D84" s="290"/>
      <c r="F84" s="290"/>
      <c r="H84" s="392"/>
    </row>
    <row r="85" spans="2:8" x14ac:dyDescent="0.25">
      <c r="B85" s="296" t="s">
        <v>303</v>
      </c>
      <c r="C85" s="290">
        <f>+'Budget Sheet'!I33</f>
        <v>1000</v>
      </c>
      <c r="D85" s="290">
        <v>0</v>
      </c>
      <c r="E85" s="357">
        <f>+D85/C85</f>
        <v>0</v>
      </c>
      <c r="F85" s="290">
        <f t="shared" ref="F85:F86" si="17">+C85-D85</f>
        <v>1000</v>
      </c>
      <c r="H85" s="392"/>
    </row>
    <row r="86" spans="2:8" x14ac:dyDescent="0.25">
      <c r="B86" s="296" t="s">
        <v>15</v>
      </c>
      <c r="C86" s="290">
        <v>0</v>
      </c>
      <c r="D86" s="290">
        <f>+'Apr - Jun 2024'!Z20</f>
        <v>900.45</v>
      </c>
      <c r="F86" s="290">
        <f t="shared" si="17"/>
        <v>-900.45</v>
      </c>
      <c r="H86" s="392"/>
    </row>
    <row r="87" spans="2:8" ht="16.5" thickTop="1" thickBot="1" x14ac:dyDescent="0.3">
      <c r="B87" s="293" t="s">
        <v>302</v>
      </c>
      <c r="C87" s="295">
        <f>SUM(C85)</f>
        <v>1000</v>
      </c>
      <c r="D87" s="295">
        <f>+'Oct - Dec 2024'!Z40</f>
        <v>1567.21</v>
      </c>
      <c r="E87" s="358">
        <f>+D87/C87</f>
        <v>1.56721</v>
      </c>
      <c r="F87" s="295">
        <f>+C87-D87</f>
        <v>-567.21</v>
      </c>
    </row>
    <row r="88" spans="2:8" ht="15.75" thickTop="1" x14ac:dyDescent="0.25">
      <c r="B88" s="292"/>
      <c r="C88" s="290"/>
      <c r="D88" s="290"/>
      <c r="F88" s="290"/>
    </row>
    <row r="89" spans="2:8" x14ac:dyDescent="0.25">
      <c r="B89" s="292" t="s">
        <v>305</v>
      </c>
      <c r="C89" s="290"/>
      <c r="D89" s="290"/>
      <c r="F89" s="290"/>
    </row>
    <row r="90" spans="2:8" ht="15.75" thickBot="1" x14ac:dyDescent="0.3">
      <c r="B90" s="296" t="s">
        <v>306</v>
      </c>
      <c r="C90" s="290">
        <f>+'Budget Sheet'!I34</f>
        <v>386.40000000000003</v>
      </c>
      <c r="D90" s="290">
        <f>+'July - Sept 2024'!AA34</f>
        <v>127.8</v>
      </c>
      <c r="E90" s="357">
        <f>+D90/C90</f>
        <v>0.33074534161490682</v>
      </c>
      <c r="F90" s="290">
        <f t="shared" ref="F90:F91" si="18">+C90-D90</f>
        <v>258.60000000000002</v>
      </c>
    </row>
    <row r="91" spans="2:8" x14ac:dyDescent="0.25">
      <c r="B91" s="296" t="s">
        <v>328</v>
      </c>
      <c r="C91" s="290">
        <v>0</v>
      </c>
      <c r="D91" s="290">
        <v>2000</v>
      </c>
      <c r="F91" s="290">
        <f t="shared" si="18"/>
        <v>-2000</v>
      </c>
    </row>
    <row r="92" spans="2:8" ht="16.5" thickTop="1" thickBot="1" x14ac:dyDescent="0.3">
      <c r="B92" s="293" t="s">
        <v>305</v>
      </c>
      <c r="C92" s="295">
        <f>SUM(C90)</f>
        <v>386.40000000000003</v>
      </c>
      <c r="D92" s="295">
        <f>+'Oct - Dec 2024'!AA40+'Oct - Dec 2024'!AB40</f>
        <v>2219.9</v>
      </c>
      <c r="E92" s="358">
        <f>+D92/C92</f>
        <v>5.7450828157349898</v>
      </c>
      <c r="F92" s="295">
        <f>+C92-D92</f>
        <v>-1833.5</v>
      </c>
      <c r="H92" s="392"/>
    </row>
    <row r="93" spans="2:8" ht="16.5" thickTop="1" thickBot="1" x14ac:dyDescent="0.3">
      <c r="B93" s="292"/>
      <c r="C93" s="290"/>
      <c r="D93" s="290"/>
      <c r="F93" s="290"/>
      <c r="H93" s="392"/>
    </row>
    <row r="94" spans="2:8" ht="16.5" thickTop="1" thickBot="1" x14ac:dyDescent="0.3">
      <c r="B94" s="293" t="s">
        <v>307</v>
      </c>
      <c r="C94" s="295">
        <v>0</v>
      </c>
      <c r="D94" s="295">
        <f>+'July - Sept 2024'!AD34</f>
        <v>2088.6999999999998</v>
      </c>
      <c r="E94" s="358">
        <v>0</v>
      </c>
      <c r="F94" s="295">
        <f>+C94-D94</f>
        <v>-2088.6999999999998</v>
      </c>
      <c r="H94" s="392"/>
    </row>
    <row r="95" spans="2:8" ht="16.5" thickTop="1" thickBot="1" x14ac:dyDescent="0.3">
      <c r="B95" s="292"/>
      <c r="C95" s="290"/>
      <c r="D95" s="290"/>
      <c r="F95" s="290"/>
    </row>
    <row r="96" spans="2:8" x14ac:dyDescent="0.25">
      <c r="B96" s="293" t="s">
        <v>308</v>
      </c>
      <c r="C96" s="295">
        <f>SUM(C92,C87,C82,C75,C66,C60,C51,C50,C48,C40,C30,C18)</f>
        <v>51953.9</v>
      </c>
      <c r="D96" s="295">
        <f>SUM(D92,D87,D82,D75,D66,D60,D51,D50,D48,D40,D30,D18,D94)</f>
        <v>37289.050000000003</v>
      </c>
      <c r="E96" s="358">
        <f>+D96/C96</f>
        <v>0.71773341366095711</v>
      </c>
      <c r="F96" s="295">
        <f>+C96-D96</f>
        <v>14664.849999999999</v>
      </c>
      <c r="G96" s="385"/>
    </row>
    <row r="97" spans="2:14" ht="15.75" thickTop="1" x14ac:dyDescent="0.25">
      <c r="C97" s="301"/>
      <c r="D97" s="301"/>
      <c r="F97" s="301"/>
    </row>
    <row r="98" spans="2:14" x14ac:dyDescent="0.25">
      <c r="B98" s="292" t="s">
        <v>309</v>
      </c>
      <c r="C98" s="523">
        <f>+C10-C96</f>
        <v>-2435.9000000000015</v>
      </c>
      <c r="D98" s="523">
        <f>+D10-D96</f>
        <v>-7648.2200000000012</v>
      </c>
      <c r="E98" s="524"/>
      <c r="F98" s="523">
        <f>+C98-D98</f>
        <v>5212.32</v>
      </c>
      <c r="G98" s="385"/>
      <c r="H98" s="384"/>
    </row>
    <row r="99" spans="2:14" x14ac:dyDescent="0.25">
      <c r="B99" s="296"/>
      <c r="C99" s="301"/>
      <c r="D99" s="301"/>
      <c r="F99" s="301"/>
      <c r="G99" s="385"/>
      <c r="H99" s="384"/>
    </row>
    <row r="100" spans="2:14" x14ac:dyDescent="0.25">
      <c r="B100" s="296"/>
      <c r="C100" s="301"/>
      <c r="D100" s="301"/>
      <c r="F100" s="301"/>
      <c r="G100" s="385"/>
      <c r="H100" s="384"/>
    </row>
    <row r="101" spans="2:14" x14ac:dyDescent="0.25">
      <c r="B101" s="296"/>
      <c r="C101" s="301"/>
      <c r="D101" s="301"/>
      <c r="F101" s="301"/>
    </row>
    <row r="102" spans="2:14" ht="16.5" thickTop="1" thickBot="1" x14ac:dyDescent="0.3">
      <c r="B102" s="293" t="s">
        <v>310</v>
      </c>
      <c r="C102" s="295">
        <v>0</v>
      </c>
      <c r="D102" s="295">
        <f>+'July - Sept 2024'!AB34</f>
        <v>2000</v>
      </c>
      <c r="E102" s="358"/>
      <c r="F102" s="295">
        <f>+C102-D102</f>
        <v>-2000</v>
      </c>
    </row>
    <row r="103" spans="2:14" ht="16.5" thickTop="1" thickBot="1" x14ac:dyDescent="0.3">
      <c r="B103" s="292"/>
      <c r="C103" s="290"/>
      <c r="D103" s="290"/>
      <c r="F103" s="290"/>
    </row>
    <row r="104" spans="2:14" ht="16.5" thickTop="1" thickBot="1" x14ac:dyDescent="0.3">
      <c r="B104" s="293" t="s">
        <v>311</v>
      </c>
      <c r="C104" s="295">
        <f>SUM(C78,C75,C38,C28)</f>
        <v>7030.5</v>
      </c>
      <c r="D104" s="295">
        <f>SUM(D78,D75,D38,D28)</f>
        <v>3742</v>
      </c>
      <c r="E104" s="358"/>
      <c r="F104" s="295">
        <f>+C104-D104</f>
        <v>3288.5</v>
      </c>
    </row>
    <row r="105" spans="2:14" ht="15.75" thickTop="1" x14ac:dyDescent="0.25">
      <c r="C105" s="290"/>
      <c r="D105" s="290"/>
      <c r="F105" s="290"/>
    </row>
    <row r="106" spans="2:14" s="268" customFormat="1" x14ac:dyDescent="0.25">
      <c r="B106" s="292" t="s">
        <v>312</v>
      </c>
      <c r="C106" s="301" t="s">
        <v>313</v>
      </c>
      <c r="D106" s="301"/>
      <c r="E106" s="357"/>
      <c r="F106" s="301"/>
      <c r="H106"/>
      <c r="I106"/>
      <c r="J106"/>
      <c r="K106"/>
      <c r="L106"/>
      <c r="M106"/>
      <c r="N106"/>
    </row>
    <row r="107" spans="2:14" s="268" customFormat="1" x14ac:dyDescent="0.25">
      <c r="B107" s="345" t="s">
        <v>241</v>
      </c>
      <c r="C107" s="346">
        <v>17335.2</v>
      </c>
      <c r="D107" s="521">
        <f>+D18</f>
        <v>9618.2099999999991</v>
      </c>
      <c r="E107" s="357">
        <f>+D107/C107</f>
        <v>0.55483697909455898</v>
      </c>
      <c r="F107" s="346">
        <f>+C107-D107</f>
        <v>7716.9900000000016</v>
      </c>
      <c r="H107"/>
      <c r="I107"/>
      <c r="J107"/>
      <c r="K107"/>
      <c r="L107"/>
      <c r="M107"/>
      <c r="N107"/>
    </row>
    <row r="108" spans="2:14" s="268" customFormat="1" x14ac:dyDescent="0.25">
      <c r="B108" s="345" t="s">
        <v>255</v>
      </c>
      <c r="C108" s="346">
        <v>7550</v>
      </c>
      <c r="D108" s="521">
        <f>+D30</f>
        <v>4392.45</v>
      </c>
      <c r="E108" s="357">
        <f t="shared" ref="E108:E111" si="19">+D108/C108</f>
        <v>0.58178145695364236</v>
      </c>
      <c r="F108" s="346">
        <f t="shared" ref="F108:F111" si="20">+C108-D108</f>
        <v>3157.55</v>
      </c>
      <c r="H108"/>
      <c r="I108"/>
      <c r="J108"/>
      <c r="K108"/>
      <c r="L108"/>
      <c r="M108"/>
      <c r="N108"/>
    </row>
    <row r="109" spans="2:14" s="268" customFormat="1" x14ac:dyDescent="0.25">
      <c r="B109" s="345" t="s">
        <v>265</v>
      </c>
      <c r="C109" s="346">
        <v>14775.25</v>
      </c>
      <c r="D109" s="521">
        <f>+D40</f>
        <v>8392.61</v>
      </c>
      <c r="E109" s="357">
        <f t="shared" si="19"/>
        <v>0.56801813844097393</v>
      </c>
      <c r="F109" s="346">
        <f t="shared" si="20"/>
        <v>6382.6399999999994</v>
      </c>
      <c r="H109"/>
      <c r="I109"/>
      <c r="J109"/>
      <c r="K109"/>
      <c r="L109"/>
      <c r="M109"/>
      <c r="N109"/>
    </row>
    <row r="110" spans="2:14" s="268" customFormat="1" x14ac:dyDescent="0.25">
      <c r="B110" s="363" t="s">
        <v>284</v>
      </c>
      <c r="C110" s="346">
        <v>2645</v>
      </c>
      <c r="D110" s="521">
        <f>+D60</f>
        <v>1870.8899999999999</v>
      </c>
      <c r="E110" s="357">
        <f t="shared" si="19"/>
        <v>0.70733081285444233</v>
      </c>
      <c r="F110" s="346">
        <f t="shared" si="20"/>
        <v>774.11000000000013</v>
      </c>
      <c r="H110"/>
      <c r="I110"/>
      <c r="J110"/>
      <c r="K110"/>
      <c r="L110"/>
      <c r="M110"/>
      <c r="N110"/>
    </row>
    <row r="111" spans="2:14" s="268" customFormat="1" ht="15.75" thickBot="1" x14ac:dyDescent="0.3">
      <c r="B111" s="345" t="s">
        <v>314</v>
      </c>
      <c r="C111" s="346">
        <v>8805</v>
      </c>
      <c r="D111" s="521">
        <f>+D92+D87+D82+D75+D66+D51+D50+D48+D94</f>
        <v>13014.89</v>
      </c>
      <c r="E111" s="357">
        <f t="shared" si="19"/>
        <v>1.4781249290176035</v>
      </c>
      <c r="F111" s="346">
        <f t="shared" si="20"/>
        <v>-4209.8899999999994</v>
      </c>
      <c r="H111"/>
      <c r="I111"/>
      <c r="J111"/>
      <c r="K111"/>
      <c r="L111"/>
      <c r="M111"/>
      <c r="N111"/>
    </row>
    <row r="112" spans="2:14" s="268" customFormat="1" ht="16.5" thickTop="1" thickBot="1" x14ac:dyDescent="0.3">
      <c r="B112" s="347" t="s">
        <v>308</v>
      </c>
      <c r="C112" s="348">
        <f>SUM(C107:C111)</f>
        <v>51110.45</v>
      </c>
      <c r="D112" s="522">
        <f>SUM(D107:D111)</f>
        <v>37289.050000000003</v>
      </c>
      <c r="E112" s="359">
        <f>+D112/C112</f>
        <v>0.7295778064955406</v>
      </c>
      <c r="F112" s="348">
        <f>+C112-D112</f>
        <v>13821.399999999994</v>
      </c>
      <c r="H112"/>
      <c r="I112"/>
      <c r="J112"/>
      <c r="K112"/>
      <c r="L112"/>
      <c r="M112"/>
      <c r="N112"/>
    </row>
    <row r="113" spans="2:14" s="268" customFormat="1" ht="15.75" thickTop="1" x14ac:dyDescent="0.25">
      <c r="B113"/>
      <c r="C113" s="301"/>
      <c r="D113" s="301"/>
      <c r="E113" s="357"/>
      <c r="F113" s="301"/>
      <c r="H113"/>
      <c r="I113"/>
      <c r="J113"/>
      <c r="K113"/>
      <c r="L113"/>
      <c r="M113"/>
      <c r="N113"/>
    </row>
    <row r="114" spans="2:14" s="268" customFormat="1" x14ac:dyDescent="0.25">
      <c r="B114" s="292" t="s">
        <v>315</v>
      </c>
      <c r="C114"/>
      <c r="D114" s="301"/>
      <c r="E114" s="357"/>
      <c r="F114" s="301"/>
      <c r="H114"/>
      <c r="I114"/>
      <c r="J114"/>
      <c r="K114"/>
      <c r="L114"/>
      <c r="M114"/>
      <c r="N114"/>
    </row>
    <row r="115" spans="2:14" s="268" customFormat="1" x14ac:dyDescent="0.25">
      <c r="B115"/>
      <c r="C115" s="301"/>
      <c r="D115" s="301"/>
      <c r="E115" s="357"/>
      <c r="F115" s="301"/>
      <c r="H115"/>
      <c r="I115"/>
      <c r="J115"/>
      <c r="K115"/>
      <c r="L115"/>
      <c r="M115"/>
      <c r="N115"/>
    </row>
    <row r="116" spans="2:14" s="268" customFormat="1" x14ac:dyDescent="0.25">
      <c r="B116" s="296" t="s">
        <v>316</v>
      </c>
      <c r="C116" s="301"/>
      <c r="D116" s="301"/>
      <c r="E116" s="357"/>
      <c r="F116" s="301"/>
      <c r="H116"/>
      <c r="I116" s="383"/>
      <c r="J116"/>
      <c r="K116"/>
      <c r="L116"/>
      <c r="M116"/>
      <c r="N116"/>
    </row>
    <row r="117" spans="2:14" s="268" customFormat="1" x14ac:dyDescent="0.25">
      <c r="B117"/>
      <c r="C117" s="301"/>
      <c r="D117" s="301"/>
      <c r="E117" s="357"/>
      <c r="F117" s="301"/>
      <c r="H117"/>
      <c r="I117" s="381"/>
      <c r="J117"/>
      <c r="K117"/>
      <c r="L117"/>
      <c r="M117"/>
      <c r="N117"/>
    </row>
    <row r="118" spans="2:14" s="268" customFormat="1" x14ac:dyDescent="0.25">
      <c r="B118" s="296" t="s">
        <v>317</v>
      </c>
      <c r="C118" s="301"/>
      <c r="D118" s="301"/>
      <c r="E118" s="357"/>
      <c r="F118" s="301"/>
      <c r="H118"/>
      <c r="I118"/>
      <c r="J118"/>
      <c r="K118"/>
      <c r="L118"/>
      <c r="M118"/>
      <c r="N118"/>
    </row>
    <row r="119" spans="2:14" s="268" customFormat="1" x14ac:dyDescent="0.25">
      <c r="B119"/>
      <c r="C119" s="301"/>
      <c r="D119" s="301"/>
      <c r="E119" s="357"/>
      <c r="F119" s="301"/>
      <c r="H119"/>
      <c r="I119"/>
      <c r="J119"/>
      <c r="K119"/>
      <c r="L119"/>
      <c r="M119"/>
      <c r="N119"/>
    </row>
    <row r="120" spans="2:14" s="268" customFormat="1" x14ac:dyDescent="0.25">
      <c r="B120" s="296" t="s">
        <v>318</v>
      </c>
      <c r="C120" s="301"/>
      <c r="D120" s="301"/>
      <c r="E120" s="357"/>
      <c r="F120" s="301"/>
      <c r="H120"/>
      <c r="I120"/>
      <c r="J120"/>
      <c r="K120"/>
      <c r="L120"/>
      <c r="M120"/>
      <c r="N120"/>
    </row>
    <row r="121" spans="2:14" s="268" customFormat="1" x14ac:dyDescent="0.25">
      <c r="B121"/>
      <c r="C121" s="301"/>
      <c r="D121" s="301"/>
      <c r="E121" s="357"/>
      <c r="F121" s="301"/>
      <c r="H121"/>
      <c r="I121"/>
      <c r="J121"/>
      <c r="K121"/>
      <c r="L121"/>
      <c r="M121"/>
      <c r="N121"/>
    </row>
    <row r="122" spans="2:14" s="268" customFormat="1" x14ac:dyDescent="0.25">
      <c r="B122"/>
      <c r="C122" s="301"/>
      <c r="D122" s="301"/>
      <c r="E122" s="357"/>
      <c r="F122" s="301"/>
      <c r="H122"/>
      <c r="I122"/>
      <c r="J122"/>
      <c r="K122"/>
      <c r="L122"/>
      <c r="M122"/>
      <c r="N122"/>
    </row>
    <row r="123" spans="2:14" s="268" customFormat="1" x14ac:dyDescent="0.25">
      <c r="B123"/>
      <c r="C123" s="301"/>
      <c r="D123" s="301"/>
      <c r="E123" s="357"/>
      <c r="F123" s="301"/>
      <c r="H123"/>
      <c r="I123"/>
      <c r="J123"/>
      <c r="K123"/>
      <c r="L123"/>
      <c r="M123"/>
      <c r="N123"/>
    </row>
    <row r="124" spans="2:14" s="268" customFormat="1" x14ac:dyDescent="0.25">
      <c r="B124"/>
      <c r="C124" s="301"/>
      <c r="D124" s="301"/>
      <c r="E124" s="357"/>
      <c r="F124" s="301"/>
      <c r="H124"/>
      <c r="I124"/>
      <c r="J124"/>
      <c r="K124"/>
      <c r="L124"/>
      <c r="M124"/>
      <c r="N124"/>
    </row>
    <row r="125" spans="2:14" s="268" customFormat="1" x14ac:dyDescent="0.25">
      <c r="B125"/>
      <c r="C125" s="301"/>
      <c r="D125" s="301"/>
      <c r="E125" s="357"/>
      <c r="F125" s="301"/>
      <c r="H125"/>
      <c r="I125"/>
      <c r="J125"/>
      <c r="K125"/>
      <c r="L125"/>
      <c r="M125"/>
      <c r="N125"/>
    </row>
    <row r="126" spans="2:14" s="268" customFormat="1" x14ac:dyDescent="0.25">
      <c r="B126"/>
      <c r="C126" s="301"/>
      <c r="D126" s="301"/>
      <c r="E126" s="357"/>
      <c r="F126" s="301"/>
      <c r="G126" s="391"/>
      <c r="H126"/>
      <c r="I126"/>
      <c r="J126"/>
      <c r="K126"/>
      <c r="L126"/>
      <c r="M126"/>
      <c r="N126"/>
    </row>
    <row r="127" spans="2:14" s="268" customFormat="1" x14ac:dyDescent="0.25">
      <c r="B127"/>
      <c r="C127" s="301"/>
      <c r="D127" s="301"/>
      <c r="E127" s="357"/>
      <c r="F127" s="301"/>
      <c r="H127"/>
      <c r="I127"/>
      <c r="J127"/>
      <c r="K127"/>
      <c r="L127"/>
      <c r="M127"/>
      <c r="N127"/>
    </row>
    <row r="128" spans="2:14" s="268" customFormat="1" x14ac:dyDescent="0.25">
      <c r="B128"/>
      <c r="C128" s="301"/>
      <c r="D128" s="301"/>
      <c r="E128" s="357"/>
      <c r="F128" s="301"/>
      <c r="H128"/>
      <c r="I128"/>
      <c r="J128"/>
      <c r="K128"/>
      <c r="L128"/>
      <c r="M128"/>
      <c r="N128"/>
    </row>
    <row r="129" spans="2:14" s="268" customFormat="1" x14ac:dyDescent="0.25">
      <c r="B129"/>
      <c r="C129" s="301"/>
      <c r="D129" s="301"/>
      <c r="E129" s="357"/>
      <c r="F129" s="301"/>
      <c r="H129"/>
      <c r="I129"/>
      <c r="J129"/>
      <c r="K129"/>
      <c r="L129"/>
      <c r="M129"/>
      <c r="N129"/>
    </row>
  </sheetData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300" r:id="rId1"/>
  <rowBreaks count="3" manualBreakCount="3">
    <brk id="31" min="1" max="7" man="1"/>
    <brk id="52" min="1" max="7" man="1"/>
    <brk id="67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CC37-7F4E-4EDF-A5E1-9587697C9E07}">
  <sheetPr>
    <pageSetUpPr fitToPage="1"/>
  </sheetPr>
  <dimension ref="B2:Q127"/>
  <sheetViews>
    <sheetView topLeftCell="G42" workbookViewId="0">
      <selection activeCell="G42" sqref="G42"/>
    </sheetView>
  </sheetViews>
  <sheetFormatPr defaultRowHeight="15" x14ac:dyDescent="0.25"/>
  <cols>
    <col min="2" max="2" width="42.28515625" bestFit="1" customWidth="1"/>
    <col min="3" max="4" width="15.7109375" customWidth="1"/>
    <col min="5" max="5" width="7.7109375" style="357" bestFit="1" customWidth="1"/>
    <col min="6" max="6" width="15.7109375" customWidth="1"/>
    <col min="7" max="7" width="70.85546875" style="268" customWidth="1"/>
    <col min="8" max="8" width="10.5703125" bestFit="1" customWidth="1"/>
    <col min="9" max="9" width="18" bestFit="1" customWidth="1"/>
    <col min="17" max="17" width="10.42578125" bestFit="1" customWidth="1"/>
  </cols>
  <sheetData>
    <row r="2" spans="2:14" ht="45" x14ac:dyDescent="0.25">
      <c r="B2" s="291" t="s">
        <v>222</v>
      </c>
      <c r="C2" s="344" t="s">
        <v>223</v>
      </c>
      <c r="D2" s="393" t="s">
        <v>329</v>
      </c>
      <c r="E2" s="360" t="s">
        <v>225</v>
      </c>
      <c r="F2" s="362" t="s">
        <v>226</v>
      </c>
    </row>
    <row r="4" spans="2:14" x14ac:dyDescent="0.25">
      <c r="B4" s="292" t="s">
        <v>227</v>
      </c>
      <c r="C4" s="290"/>
      <c r="D4" s="290"/>
      <c r="F4" s="290"/>
    </row>
    <row r="5" spans="2:14" x14ac:dyDescent="0.25">
      <c r="B5" s="292" t="s">
        <v>13</v>
      </c>
      <c r="C5" s="290">
        <f>+'Budget Sheet'!I7</f>
        <v>45560</v>
      </c>
      <c r="D5" s="290">
        <v>45560</v>
      </c>
      <c r="E5" s="357">
        <f>+D5/C5</f>
        <v>1</v>
      </c>
      <c r="F5" s="290">
        <f>+C5-D5</f>
        <v>0</v>
      </c>
      <c r="G5" s="268" t="s">
        <v>228</v>
      </c>
    </row>
    <row r="6" spans="2:14" x14ac:dyDescent="0.25">
      <c r="B6" s="292" t="s">
        <v>229</v>
      </c>
      <c r="C6" s="290">
        <f>+'Budget Sheet'!I8</f>
        <v>2364</v>
      </c>
      <c r="D6" s="290">
        <v>2364</v>
      </c>
      <c r="E6" s="357">
        <f>+D6/C6</f>
        <v>1</v>
      </c>
      <c r="F6" s="290">
        <f t="shared" ref="F6:F9" si="0">+C6-D6</f>
        <v>0</v>
      </c>
    </row>
    <row r="7" spans="2:14" x14ac:dyDescent="0.25">
      <c r="B7" s="292" t="s">
        <v>231</v>
      </c>
      <c r="C7" s="290">
        <f>+'Budget Sheet'!I9</f>
        <v>1322.5</v>
      </c>
      <c r="D7" s="290">
        <f>+'Apr - Jun 2024'!J13</f>
        <v>1322.5</v>
      </c>
      <c r="E7" s="357">
        <f>+D7/C7</f>
        <v>1</v>
      </c>
      <c r="F7" s="290">
        <f t="shared" si="0"/>
        <v>0</v>
      </c>
    </row>
    <row r="8" spans="2:14" s="268" customFormat="1" x14ac:dyDescent="0.25">
      <c r="B8" s="292" t="s">
        <v>16</v>
      </c>
      <c r="C8" s="290">
        <v>0</v>
      </c>
      <c r="D8" s="290">
        <f>+'Jan - March 2025'!K32</f>
        <v>3894.18</v>
      </c>
      <c r="E8" s="357"/>
      <c r="F8" s="290">
        <f t="shared" si="0"/>
        <v>-3894.18</v>
      </c>
      <c r="H8"/>
      <c r="I8"/>
      <c r="J8"/>
      <c r="K8"/>
      <c r="L8"/>
      <c r="M8"/>
      <c r="N8"/>
    </row>
    <row r="9" spans="2:14" s="268" customFormat="1" x14ac:dyDescent="0.25">
      <c r="B9" s="292" t="s">
        <v>15</v>
      </c>
      <c r="C9" s="290">
        <f>+'Budget Sheet'!I12</f>
        <v>271.5</v>
      </c>
      <c r="D9" s="290">
        <f>+'Apr - Jun 2024'!J25</f>
        <v>90.5</v>
      </c>
      <c r="E9" s="357"/>
      <c r="F9" s="290">
        <f t="shared" si="0"/>
        <v>181</v>
      </c>
      <c r="H9"/>
      <c r="I9"/>
      <c r="J9"/>
      <c r="K9"/>
      <c r="L9"/>
      <c r="M9"/>
      <c r="N9"/>
    </row>
    <row r="10" spans="2:14" s="268" customFormat="1" x14ac:dyDescent="0.25">
      <c r="B10" s="293" t="s">
        <v>233</v>
      </c>
      <c r="C10" s="295">
        <f>SUM(C5:C9)</f>
        <v>49518</v>
      </c>
      <c r="D10" s="295">
        <f>SUM(D5:D9)</f>
        <v>53231.18</v>
      </c>
      <c r="E10" s="358">
        <f>+D10/C10</f>
        <v>1.0749864695666222</v>
      </c>
      <c r="F10" s="295">
        <f>+C10-D10</f>
        <v>-3713.1800000000003</v>
      </c>
      <c r="G10" s="385"/>
      <c r="H10"/>
      <c r="I10"/>
      <c r="J10"/>
      <c r="K10"/>
      <c r="L10"/>
      <c r="M10"/>
      <c r="N10"/>
    </row>
    <row r="11" spans="2:14" s="268" customFormat="1" x14ac:dyDescent="0.25">
      <c r="B11" s="292" t="s">
        <v>234</v>
      </c>
      <c r="C11" s="290">
        <f>+'Budget Sheet'!I14</f>
        <v>2436.4000000000015</v>
      </c>
      <c r="D11" s="290">
        <f>+'Jan - March 2025'!AB32</f>
        <v>2000</v>
      </c>
      <c r="E11" s="357"/>
      <c r="F11" s="290">
        <f>+C11-D11</f>
        <v>436.40000000000146</v>
      </c>
      <c r="G11" s="268" t="s">
        <v>319</v>
      </c>
      <c r="H11"/>
      <c r="I11"/>
      <c r="J11"/>
      <c r="K11"/>
      <c r="L11"/>
      <c r="M11"/>
      <c r="N11"/>
    </row>
    <row r="12" spans="2:14" s="268" customFormat="1" x14ac:dyDescent="0.25">
      <c r="B12" s="293" t="s">
        <v>236</v>
      </c>
      <c r="C12" s="295">
        <f>SUM(C10:C11)</f>
        <v>51954.400000000001</v>
      </c>
      <c r="D12" s="295">
        <f>SUM(D10:D11)</f>
        <v>55231.18</v>
      </c>
      <c r="E12" s="358"/>
      <c r="F12" s="295"/>
      <c r="G12" s="385"/>
      <c r="H12"/>
      <c r="I12"/>
      <c r="J12"/>
      <c r="K12"/>
      <c r="L12"/>
      <c r="M12"/>
      <c r="N12"/>
    </row>
    <row r="13" spans="2:14" s="268" customFormat="1" x14ac:dyDescent="0.25">
      <c r="B13" s="292"/>
      <c r="C13" s="290"/>
      <c r="D13" s="290"/>
      <c r="E13" s="357"/>
      <c r="F13" s="290"/>
      <c r="G13" s="385"/>
      <c r="H13"/>
      <c r="I13"/>
      <c r="J13"/>
      <c r="K13"/>
      <c r="L13"/>
      <c r="M13"/>
      <c r="N13"/>
    </row>
    <row r="14" spans="2:14" s="268" customFormat="1" x14ac:dyDescent="0.25">
      <c r="B14" s="292" t="s">
        <v>237</v>
      </c>
      <c r="C14" s="290"/>
      <c r="D14" s="290"/>
      <c r="E14" s="357"/>
      <c r="F14" s="290"/>
      <c r="H14"/>
      <c r="I14"/>
      <c r="J14"/>
      <c r="K14"/>
      <c r="L14"/>
      <c r="M14"/>
      <c r="N14"/>
    </row>
    <row r="15" spans="2:14" s="268" customFormat="1" x14ac:dyDescent="0.25">
      <c r="B15" s="296" t="s">
        <v>238</v>
      </c>
      <c r="C15" s="290">
        <f>+'Budget Sheet'!I20-C16-C17</f>
        <v>13780</v>
      </c>
      <c r="D15" s="290">
        <f>+'Apr - Jun 2024'!M6+'Apr - Jun 2024'!M22+'Apr - Jun 2024'!M27+'July - Sept 2024'!M8+'July - Sept 2024'!M16+'July - Sept 2024'!M25+'Oct - Dec 2024'!M7+'Oct - Dec 2024'!M14+'Oct - Dec 2024'!M26</f>
        <v>9923.4</v>
      </c>
      <c r="E15" s="357">
        <f>+D15/C15</f>
        <v>0.72013062409288819</v>
      </c>
      <c r="F15" s="290">
        <f t="shared" ref="F15:F17" si="1">+C15-D15</f>
        <v>3856.6000000000004</v>
      </c>
      <c r="G15" s="385"/>
      <c r="H15"/>
      <c r="I15"/>
      <c r="J15"/>
      <c r="K15"/>
      <c r="L15"/>
      <c r="M15"/>
      <c r="N15"/>
    </row>
    <row r="16" spans="2:14" s="268" customFormat="1" x14ac:dyDescent="0.25">
      <c r="B16" s="296" t="s">
        <v>239</v>
      </c>
      <c r="C16" s="290">
        <v>1195</v>
      </c>
      <c r="D16" s="290">
        <f>+'Apr - Jun 2024'!M7+'Apr - Jun 2024'!M23+'Apr - Jun 2024'!M28+'July - Sept 2024'!M9+'July - Sept 2024'!M17+'July - Sept 2024'!M26+'Oct - Dec 2024'!M8+'Oct - Dec 2024'!M15+'Oct - Dec 2024'!M27</f>
        <v>1047.78</v>
      </c>
      <c r="E16" s="357">
        <f>+D16/C16</f>
        <v>0.87680334728033471</v>
      </c>
      <c r="F16" s="290">
        <f t="shared" si="1"/>
        <v>147.22000000000003</v>
      </c>
      <c r="G16" s="392"/>
      <c r="H16"/>
      <c r="I16"/>
      <c r="J16"/>
      <c r="K16"/>
      <c r="L16"/>
      <c r="M16"/>
      <c r="N16"/>
    </row>
    <row r="17" spans="2:14" s="268" customFormat="1" x14ac:dyDescent="0.25">
      <c r="B17" s="296" t="s">
        <v>240</v>
      </c>
      <c r="C17" s="290">
        <v>4525</v>
      </c>
      <c r="D17" s="290">
        <f>+'Apr - Jun 2024'!M8+'Apr - Jun 2024'!M24+'Apr - Jun 2024'!M29+'July - Sept 2024'!M10+'July - Sept 2024'!M18+'July - Sept 2024'!M27+'Oct - Dec 2024'!M9+'Oct - Dec 2024'!M16+'Oct - Dec 2024'!M28</f>
        <v>4020.0199999999995</v>
      </c>
      <c r="E17" s="357">
        <f>+D17/C17</f>
        <v>0.88840220994475128</v>
      </c>
      <c r="F17" s="290">
        <f t="shared" si="1"/>
        <v>504.98000000000047</v>
      </c>
      <c r="H17"/>
      <c r="I17"/>
      <c r="J17"/>
      <c r="K17"/>
      <c r="L17"/>
      <c r="M17"/>
      <c r="N17"/>
    </row>
    <row r="18" spans="2:14" s="268" customFormat="1" x14ac:dyDescent="0.25">
      <c r="B18" s="297" t="s">
        <v>241</v>
      </c>
      <c r="C18" s="295">
        <f>SUM(C15:C17)</f>
        <v>19500</v>
      </c>
      <c r="D18" s="295">
        <f>+'Oct - Dec 2024'!M40</f>
        <v>14991.2</v>
      </c>
      <c r="E18" s="358">
        <f>+D18/C18</f>
        <v>0.76877948717948719</v>
      </c>
      <c r="F18" s="294">
        <f>+C18-D18</f>
        <v>4508.7999999999993</v>
      </c>
      <c r="H18"/>
      <c r="I18"/>
      <c r="J18"/>
      <c r="K18"/>
      <c r="L18"/>
      <c r="M18"/>
      <c r="N18"/>
    </row>
    <row r="19" spans="2:14" s="268" customFormat="1" x14ac:dyDescent="0.25">
      <c r="B19"/>
      <c r="C19" s="290"/>
      <c r="D19" s="585">
        <f>+D18-SUM(D15:D17)</f>
        <v>0</v>
      </c>
      <c r="E19" s="357"/>
      <c r="F19" s="290"/>
      <c r="H19"/>
      <c r="I19"/>
      <c r="J19" s="476"/>
      <c r="K19"/>
      <c r="L19"/>
      <c r="M19"/>
      <c r="N19"/>
    </row>
    <row r="20" spans="2:14" x14ac:dyDescent="0.25">
      <c r="B20" s="292" t="s">
        <v>243</v>
      </c>
      <c r="C20" s="290"/>
      <c r="D20" s="290"/>
      <c r="F20" s="290"/>
    </row>
    <row r="21" spans="2:14" x14ac:dyDescent="0.25">
      <c r="B21" s="296" t="s">
        <v>244</v>
      </c>
      <c r="C21" s="290">
        <v>630</v>
      </c>
      <c r="D21" s="585">
        <f>+'Apr - Jun 2024'!N6+'Apr - Jun 2024'!N7+'Apr - Jun 2024'!N22+'Apr - Jun 2024'!N23+'Apr - Jun 2024'!N27+'Apr - Jun 2024'!N28+'July - Sept 2024'!N8+'July - Sept 2024'!N16+'July - Sept 2024'!N25+'Oct - Dec 2024'!N7+'Oct - Dec 2024'!N14+'Oct - Dec 2024'!N26</f>
        <v>476.88</v>
      </c>
      <c r="E21" s="357">
        <f t="shared" ref="E21:E30" si="2">+D21/C21</f>
        <v>0.75695238095238093</v>
      </c>
      <c r="F21" s="290">
        <f t="shared" ref="F21:F29" si="3">+C21-D21</f>
        <v>153.12</v>
      </c>
      <c r="G21" s="296"/>
      <c r="H21" s="473"/>
    </row>
    <row r="22" spans="2:14" x14ac:dyDescent="0.25">
      <c r="B22" s="296" t="s">
        <v>245</v>
      </c>
      <c r="C22" s="290">
        <v>683</v>
      </c>
      <c r="D22" s="290">
        <f>+'Apr - Jun 2024'!N11</f>
        <v>660</v>
      </c>
      <c r="E22" s="357">
        <f t="shared" si="2"/>
        <v>0.96632503660322111</v>
      </c>
      <c r="F22" s="290">
        <f t="shared" si="3"/>
        <v>23</v>
      </c>
      <c r="G22" s="296"/>
      <c r="H22" s="473"/>
    </row>
    <row r="23" spans="2:14" x14ac:dyDescent="0.25">
      <c r="B23" s="296" t="s">
        <v>247</v>
      </c>
      <c r="C23" s="290">
        <v>3518</v>
      </c>
      <c r="D23" s="290">
        <f>+'July - Sept 2024'!N29</f>
        <v>3350</v>
      </c>
      <c r="E23" s="357">
        <f t="shared" si="2"/>
        <v>0.95224559408754972</v>
      </c>
      <c r="F23" s="290">
        <f t="shared" si="3"/>
        <v>168</v>
      </c>
      <c r="G23" s="296"/>
      <c r="H23" s="473"/>
      <c r="N23" s="76"/>
    </row>
    <row r="24" spans="2:14" x14ac:dyDescent="0.25">
      <c r="B24" s="296" t="s">
        <v>249</v>
      </c>
      <c r="C24" s="290">
        <v>60</v>
      </c>
      <c r="D24" s="290">
        <v>0</v>
      </c>
      <c r="E24" s="357">
        <f t="shared" si="2"/>
        <v>0</v>
      </c>
      <c r="F24" s="290">
        <f t="shared" si="3"/>
        <v>60</v>
      </c>
      <c r="G24" s="296"/>
      <c r="H24" s="473"/>
      <c r="N24" s="76"/>
    </row>
    <row r="25" spans="2:14" x14ac:dyDescent="0.25">
      <c r="B25" s="296" t="s">
        <v>250</v>
      </c>
      <c r="C25" s="290">
        <v>39.5</v>
      </c>
      <c r="D25" s="290">
        <v>0</v>
      </c>
      <c r="E25" s="357">
        <f t="shared" si="2"/>
        <v>0</v>
      </c>
      <c r="F25" s="290">
        <f t="shared" si="3"/>
        <v>39.5</v>
      </c>
      <c r="G25" s="296"/>
      <c r="H25" s="473"/>
      <c r="N25" s="76"/>
    </row>
    <row r="26" spans="2:14" x14ac:dyDescent="0.25">
      <c r="B26" s="296" t="s">
        <v>251</v>
      </c>
      <c r="C26" s="290">
        <v>450</v>
      </c>
      <c r="D26" s="290">
        <f>+'July - Sept 2024'!N15</f>
        <v>63.07</v>
      </c>
      <c r="E26" s="357">
        <f t="shared" si="2"/>
        <v>0.14015555555555556</v>
      </c>
      <c r="F26" s="290">
        <f t="shared" si="3"/>
        <v>386.93</v>
      </c>
      <c r="G26" s="296"/>
      <c r="H26" s="473"/>
      <c r="N26" s="76"/>
    </row>
    <row r="27" spans="2:14" x14ac:dyDescent="0.25">
      <c r="B27" s="296" t="s">
        <v>252</v>
      </c>
      <c r="C27" s="290">
        <v>0</v>
      </c>
      <c r="D27" s="290">
        <v>0</v>
      </c>
      <c r="E27" s="357">
        <v>0</v>
      </c>
      <c r="F27" s="290">
        <f t="shared" si="3"/>
        <v>0</v>
      </c>
      <c r="G27" s="296"/>
      <c r="H27" s="473"/>
      <c r="N27" s="76"/>
    </row>
    <row r="28" spans="2:14" x14ac:dyDescent="0.25">
      <c r="B28" s="296" t="s">
        <v>253</v>
      </c>
      <c r="C28" s="290">
        <v>119.5</v>
      </c>
      <c r="D28" s="290">
        <f>+'Oct - Dec 2024'!N33</f>
        <v>47</v>
      </c>
      <c r="E28" s="357">
        <f t="shared" si="2"/>
        <v>0.39330543933054396</v>
      </c>
      <c r="F28" s="290">
        <f t="shared" si="3"/>
        <v>72.5</v>
      </c>
      <c r="G28" s="296"/>
      <c r="H28" s="473"/>
      <c r="N28" s="361"/>
    </row>
    <row r="29" spans="2:14" x14ac:dyDescent="0.25">
      <c r="B29" s="296" t="s">
        <v>254</v>
      </c>
      <c r="C29" s="290">
        <v>0</v>
      </c>
      <c r="D29" s="290">
        <v>0</v>
      </c>
      <c r="F29" s="290">
        <f t="shared" si="3"/>
        <v>0</v>
      </c>
      <c r="N29" s="76"/>
    </row>
    <row r="30" spans="2:14" x14ac:dyDescent="0.25">
      <c r="B30" s="297" t="s">
        <v>255</v>
      </c>
      <c r="C30" s="295">
        <f>SUM(C21:C29)</f>
        <v>5500</v>
      </c>
      <c r="D30" s="295">
        <f>+'Oct - Dec 2024'!N40</f>
        <v>4596.9500000000007</v>
      </c>
      <c r="E30" s="358">
        <f t="shared" si="2"/>
        <v>0.83580909090909106</v>
      </c>
      <c r="F30" s="294">
        <f>+C30-D30</f>
        <v>903.04999999999927</v>
      </c>
      <c r="H30" s="474"/>
      <c r="N30" s="76"/>
    </row>
    <row r="31" spans="2:14" x14ac:dyDescent="0.25">
      <c r="C31" s="290"/>
      <c r="D31" s="290">
        <f>SUM(D21:D29)-D30</f>
        <v>0</v>
      </c>
      <c r="F31" s="290"/>
      <c r="J31" s="381"/>
      <c r="N31" s="76"/>
    </row>
    <row r="32" spans="2:14" x14ac:dyDescent="0.25">
      <c r="B32" s="292" t="s">
        <v>256</v>
      </c>
      <c r="C32" s="290"/>
      <c r="D32" s="290"/>
      <c r="F32" s="290"/>
      <c r="N32" s="76"/>
    </row>
    <row r="33" spans="2:17" x14ac:dyDescent="0.25">
      <c r="B33" s="298" t="s">
        <v>257</v>
      </c>
      <c r="C33" s="290">
        <v>2035</v>
      </c>
      <c r="D33" s="290">
        <f>1357+678.33</f>
        <v>2035.33</v>
      </c>
      <c r="E33" s="357">
        <f t="shared" ref="E33:E40" si="4">+D33/C33</f>
        <v>1.0001621621621621</v>
      </c>
      <c r="F33" s="290">
        <f t="shared" ref="F33:F39" si="5">+C33-D33</f>
        <v>-0.32999999999992724</v>
      </c>
      <c r="G33"/>
      <c r="H33" s="473"/>
      <c r="N33" s="76"/>
    </row>
    <row r="34" spans="2:17" x14ac:dyDescent="0.25">
      <c r="B34" s="298" t="s">
        <v>258</v>
      </c>
      <c r="C34" s="290">
        <v>6384</v>
      </c>
      <c r="D34" s="290">
        <f>5049.1+2363.25-1</f>
        <v>7411.35</v>
      </c>
      <c r="E34" s="357">
        <f t="shared" si="4"/>
        <v>1.1609257518796994</v>
      </c>
      <c r="F34" s="290">
        <f t="shared" si="5"/>
        <v>-1027.3500000000004</v>
      </c>
      <c r="G34"/>
      <c r="H34" s="473"/>
      <c r="I34" s="381"/>
      <c r="N34" s="76"/>
    </row>
    <row r="35" spans="2:17" x14ac:dyDescent="0.25">
      <c r="B35" s="298" t="s">
        <v>259</v>
      </c>
      <c r="C35" s="290">
        <v>572</v>
      </c>
      <c r="D35" s="290">
        <f>439+238</f>
        <v>677</v>
      </c>
      <c r="E35" s="357">
        <f t="shared" si="4"/>
        <v>1.1835664335664335</v>
      </c>
      <c r="F35" s="290">
        <f t="shared" si="5"/>
        <v>-105</v>
      </c>
      <c r="G35"/>
      <c r="H35" s="473"/>
      <c r="N35" s="76"/>
    </row>
    <row r="36" spans="2:17" x14ac:dyDescent="0.25">
      <c r="B36" s="298" t="s">
        <v>260</v>
      </c>
      <c r="C36" s="290">
        <v>571.5</v>
      </c>
      <c r="D36" s="290">
        <f>405.75+165.75</f>
        <v>571.5</v>
      </c>
      <c r="E36" s="357">
        <f t="shared" si="4"/>
        <v>1</v>
      </c>
      <c r="F36" s="290">
        <f t="shared" si="5"/>
        <v>0</v>
      </c>
      <c r="G36"/>
      <c r="H36" s="473"/>
      <c r="N36" s="76"/>
    </row>
    <row r="37" spans="2:17" x14ac:dyDescent="0.25">
      <c r="B37" s="298" t="s">
        <v>261</v>
      </c>
      <c r="C37" s="290">
        <v>1416</v>
      </c>
      <c r="D37" s="290">
        <f>400+392.75+162.75</f>
        <v>955.5</v>
      </c>
      <c r="E37" s="357">
        <f t="shared" si="4"/>
        <v>0.67478813559322037</v>
      </c>
      <c r="F37" s="290">
        <f t="shared" si="5"/>
        <v>460.5</v>
      </c>
      <c r="G37"/>
      <c r="H37" s="473"/>
      <c r="I37" s="381"/>
      <c r="N37" s="76"/>
    </row>
    <row r="38" spans="2:17" x14ac:dyDescent="0.25">
      <c r="B38" s="298" t="s">
        <v>262</v>
      </c>
      <c r="C38" s="290">
        <v>1474.5</v>
      </c>
      <c r="D38" s="290">
        <f>742+742</f>
        <v>1484</v>
      </c>
      <c r="E38" s="357">
        <f t="shared" si="4"/>
        <v>1.0064428619871142</v>
      </c>
      <c r="F38" s="290">
        <f t="shared" si="5"/>
        <v>-9.5</v>
      </c>
      <c r="G38"/>
      <c r="H38" s="473"/>
      <c r="N38" s="76"/>
      <c r="O38" s="383"/>
    </row>
    <row r="39" spans="2:17" x14ac:dyDescent="0.25">
      <c r="B39" s="298" t="s">
        <v>263</v>
      </c>
      <c r="C39" s="290">
        <v>2400</v>
      </c>
      <c r="D39" s="290">
        <f>75</f>
        <v>75</v>
      </c>
      <c r="E39" s="380">
        <f>+D39/C39</f>
        <v>3.125E-2</v>
      </c>
      <c r="F39" s="290">
        <f t="shared" si="5"/>
        <v>2325</v>
      </c>
      <c r="G39" t="s">
        <v>330</v>
      </c>
      <c r="H39" s="473"/>
      <c r="J39" s="384"/>
      <c r="K39" s="381"/>
      <c r="N39" s="76"/>
    </row>
    <row r="40" spans="2:17" x14ac:dyDescent="0.25">
      <c r="B40" s="299" t="s">
        <v>265</v>
      </c>
      <c r="C40" s="295">
        <f>SUM(C33:C39)</f>
        <v>14853</v>
      </c>
      <c r="D40" s="295">
        <f>+'Oct - Dec 2024'!O40</f>
        <v>13210.04</v>
      </c>
      <c r="E40" s="358">
        <f t="shared" si="4"/>
        <v>0.88938530936511151</v>
      </c>
      <c r="F40" s="294">
        <f>+C40-D40</f>
        <v>1642.9599999999991</v>
      </c>
      <c r="G40"/>
      <c r="H40" s="473"/>
      <c r="N40" s="76"/>
    </row>
    <row r="41" spans="2:17" x14ac:dyDescent="0.25">
      <c r="B41" s="298"/>
      <c r="C41" s="290"/>
      <c r="D41" s="290">
        <f>SUM(D33:D39)-D40</f>
        <v>-0.36000000000058208</v>
      </c>
      <c r="E41" s="472"/>
      <c r="F41" s="290"/>
      <c r="G41"/>
      <c r="H41" s="349"/>
      <c r="N41" s="76"/>
    </row>
    <row r="42" spans="2:17" x14ac:dyDescent="0.25">
      <c r="B42" s="298"/>
      <c r="C42" s="290"/>
      <c r="D42" s="290"/>
      <c r="F42" s="290"/>
      <c r="G42" s="381"/>
      <c r="H42" s="349"/>
      <c r="N42" s="76"/>
      <c r="O42" s="383"/>
      <c r="Q42" s="582"/>
    </row>
    <row r="43" spans="2:17" x14ac:dyDescent="0.25">
      <c r="B43" s="300" t="s">
        <v>267</v>
      </c>
      <c r="C43" s="290"/>
      <c r="D43" s="290"/>
      <c r="F43" s="290"/>
      <c r="G43"/>
      <c r="H43" s="349"/>
      <c r="N43" s="76"/>
      <c r="Q43" s="582"/>
    </row>
    <row r="44" spans="2:17" x14ac:dyDescent="0.25">
      <c r="B44" s="298" t="s">
        <v>268</v>
      </c>
      <c r="C44" s="290">
        <f>+'Budget Sheet'!I23-'Q3 Budget Report'!C45-'Q3 Budget Report'!C46</f>
        <v>1245</v>
      </c>
      <c r="D44" s="290">
        <f>+'Apr - Jun 2024'!P19+'Oct - Dec 2024'!P24+'Oct - Dec 2024'!P25</f>
        <v>2891</v>
      </c>
      <c r="E44" s="357">
        <f t="shared" ref="E44:E48" si="6">+D44/C44</f>
        <v>2.3220883534136547</v>
      </c>
      <c r="F44" s="290">
        <f t="shared" ref="F44:F47" si="7">+C44-D44</f>
        <v>-1646</v>
      </c>
      <c r="G44"/>
      <c r="H44" s="580"/>
      <c r="N44" s="76"/>
      <c r="Q44" s="581"/>
    </row>
    <row r="45" spans="2:17" x14ac:dyDescent="0.25">
      <c r="B45" s="298" t="s">
        <v>269</v>
      </c>
      <c r="C45" s="290">
        <v>35</v>
      </c>
      <c r="D45" s="290">
        <f>35</f>
        <v>35</v>
      </c>
      <c r="E45" s="357">
        <f t="shared" si="6"/>
        <v>1</v>
      </c>
      <c r="F45" s="290">
        <f t="shared" si="7"/>
        <v>0</v>
      </c>
      <c r="G45"/>
      <c r="H45" s="349"/>
      <c r="N45" s="76"/>
      <c r="Q45" s="581"/>
    </row>
    <row r="46" spans="2:17" x14ac:dyDescent="0.25">
      <c r="B46" s="298" t="s">
        <v>270</v>
      </c>
      <c r="C46" s="290">
        <v>220</v>
      </c>
      <c r="D46" s="290">
        <f>+'Jan - March 2025'!P24</f>
        <v>0</v>
      </c>
      <c r="E46" s="357">
        <f t="shared" si="6"/>
        <v>0</v>
      </c>
      <c r="F46" s="290">
        <f t="shared" si="7"/>
        <v>220</v>
      </c>
      <c r="N46" s="76"/>
      <c r="Q46" s="581"/>
    </row>
    <row r="47" spans="2:17" x14ac:dyDescent="0.25">
      <c r="B47" s="298" t="s">
        <v>271</v>
      </c>
      <c r="C47" s="290">
        <v>0</v>
      </c>
      <c r="D47" s="290">
        <f>+'Apr - Jun 2024'!P14</f>
        <v>174</v>
      </c>
      <c r="F47" s="290">
        <f t="shared" si="7"/>
        <v>-174</v>
      </c>
      <c r="N47" s="76"/>
      <c r="Q47" s="581"/>
    </row>
    <row r="48" spans="2:17" x14ac:dyDescent="0.25">
      <c r="B48" s="299" t="s">
        <v>272</v>
      </c>
      <c r="C48" s="295">
        <f>SUM(C44:C47)</f>
        <v>1500</v>
      </c>
      <c r="D48" s="295">
        <f>+'Jan - March 2025'!P32</f>
        <v>3100</v>
      </c>
      <c r="E48" s="358">
        <f t="shared" si="6"/>
        <v>2.0666666666666669</v>
      </c>
      <c r="F48" s="295">
        <f>+C48-D48</f>
        <v>-1600</v>
      </c>
      <c r="H48" s="271"/>
      <c r="N48" s="76"/>
      <c r="O48" s="383"/>
      <c r="Q48" s="581"/>
    </row>
    <row r="49" spans="2:17" x14ac:dyDescent="0.25">
      <c r="B49" s="298"/>
      <c r="C49" s="290"/>
      <c r="D49" s="290"/>
      <c r="F49" s="290"/>
      <c r="N49" s="76"/>
      <c r="O49" s="383"/>
      <c r="Q49" s="583"/>
    </row>
    <row r="50" spans="2:17" x14ac:dyDescent="0.25">
      <c r="B50" s="299" t="s">
        <v>88</v>
      </c>
      <c r="C50" s="295">
        <f>+'Budget Sheet'!I24</f>
        <v>80</v>
      </c>
      <c r="D50" s="295">
        <f>+'Jan - March 2025'!Q32</f>
        <v>71.400000000000006</v>
      </c>
      <c r="E50" s="358">
        <f t="shared" ref="E50:E51" si="8">+D50/C50</f>
        <v>0.89250000000000007</v>
      </c>
      <c r="F50" s="295">
        <f>+C50-D50</f>
        <v>8.5999999999999943</v>
      </c>
      <c r="H50" s="271"/>
      <c r="N50" s="76"/>
      <c r="O50" s="383"/>
      <c r="Q50" s="581"/>
    </row>
    <row r="51" spans="2:17" x14ac:dyDescent="0.25">
      <c r="B51" s="299" t="s">
        <v>274</v>
      </c>
      <c r="C51" s="295">
        <f>+'Budget Sheet'!I25</f>
        <v>650</v>
      </c>
      <c r="D51" s="295">
        <f>+'Jan - March 2025'!R32</f>
        <v>635</v>
      </c>
      <c r="E51" s="358">
        <f t="shared" si="8"/>
        <v>0.97692307692307689</v>
      </c>
      <c r="F51" s="295">
        <f>+C51-D51</f>
        <v>15</v>
      </c>
      <c r="H51" s="271"/>
      <c r="N51" s="76"/>
      <c r="O51" s="383"/>
      <c r="Q51" s="581"/>
    </row>
    <row r="52" spans="2:17" x14ac:dyDescent="0.25">
      <c r="B52" s="296"/>
      <c r="C52" s="290"/>
      <c r="D52" s="290"/>
      <c r="F52" s="290"/>
      <c r="N52" s="76"/>
      <c r="Q52" s="581"/>
    </row>
    <row r="53" spans="2:17" x14ac:dyDescent="0.25">
      <c r="B53" s="292" t="s">
        <v>276</v>
      </c>
      <c r="C53" s="290"/>
      <c r="D53" s="290"/>
      <c r="F53" s="290"/>
      <c r="N53" s="115"/>
      <c r="O53" s="381"/>
    </row>
    <row r="54" spans="2:17" x14ac:dyDescent="0.25">
      <c r="B54" s="296" t="s">
        <v>277</v>
      </c>
      <c r="C54" s="290">
        <f>+'Budget Sheet'!I26</f>
        <v>650</v>
      </c>
      <c r="D54" s="290">
        <f>+'Apr - Jun 2024'!S39</f>
        <v>790.17</v>
      </c>
      <c r="E54" s="357">
        <f t="shared" ref="E54:E60" si="9">+D54/C54</f>
        <v>1.2156461538461538</v>
      </c>
      <c r="F54" s="290">
        <f t="shared" ref="F54:F59" si="10">+C54-D54</f>
        <v>-140.16999999999996</v>
      </c>
      <c r="N54" s="115"/>
      <c r="O54" s="381"/>
    </row>
    <row r="55" spans="2:17" x14ac:dyDescent="0.25">
      <c r="B55" s="296" t="s">
        <v>85</v>
      </c>
      <c r="C55" s="290">
        <v>35</v>
      </c>
      <c r="D55" s="290">
        <f>+'Apr - Jun 2024'!T34</f>
        <v>35</v>
      </c>
      <c r="E55" s="357">
        <f t="shared" si="9"/>
        <v>1</v>
      </c>
      <c r="F55" s="290">
        <f t="shared" si="10"/>
        <v>0</v>
      </c>
      <c r="N55" s="115"/>
    </row>
    <row r="56" spans="2:17" x14ac:dyDescent="0.25">
      <c r="B56" s="296" t="s">
        <v>280</v>
      </c>
      <c r="C56" s="290">
        <v>627</v>
      </c>
      <c r="D56" s="290">
        <v>0</v>
      </c>
      <c r="E56" s="357">
        <f t="shared" si="9"/>
        <v>0</v>
      </c>
      <c r="F56" s="290">
        <f t="shared" si="10"/>
        <v>627</v>
      </c>
      <c r="G56" s="268" t="s">
        <v>331</v>
      </c>
      <c r="N56" s="115"/>
      <c r="Q56" s="581"/>
    </row>
    <row r="57" spans="2:17" x14ac:dyDescent="0.25">
      <c r="B57" s="296" t="s">
        <v>59</v>
      </c>
      <c r="C57" s="290">
        <v>183</v>
      </c>
      <c r="D57" s="290">
        <f>+'Apr - Jun 2024'!T17</f>
        <v>183</v>
      </c>
      <c r="E57" s="357">
        <f t="shared" si="9"/>
        <v>1</v>
      </c>
      <c r="F57" s="290">
        <f t="shared" si="10"/>
        <v>0</v>
      </c>
      <c r="N57" s="115"/>
      <c r="Q57" s="581"/>
    </row>
    <row r="58" spans="2:17" x14ac:dyDescent="0.25">
      <c r="B58" s="296" t="s">
        <v>282</v>
      </c>
      <c r="C58" s="290">
        <v>70</v>
      </c>
      <c r="D58" s="290">
        <v>67.41</v>
      </c>
      <c r="E58" s="357">
        <f>+D58/(C58+C59)</f>
        <v>0.26435294117647057</v>
      </c>
      <c r="F58" s="290">
        <f t="shared" si="10"/>
        <v>2.5900000000000034</v>
      </c>
      <c r="N58" s="115"/>
      <c r="Q58" s="581"/>
    </row>
    <row r="59" spans="2:17" x14ac:dyDescent="0.25">
      <c r="B59" s="296" t="s">
        <v>283</v>
      </c>
      <c r="C59" s="290">
        <v>185</v>
      </c>
      <c r="D59" s="290">
        <v>185.08</v>
      </c>
      <c r="E59" s="357">
        <f>+D59/(C59+C60)</f>
        <v>9.5648578811369511E-2</v>
      </c>
      <c r="F59" s="290">
        <f t="shared" si="10"/>
        <v>-8.0000000000012506E-2</v>
      </c>
      <c r="N59" s="115"/>
      <c r="Q59" s="581"/>
    </row>
    <row r="60" spans="2:17" x14ac:dyDescent="0.25">
      <c r="B60" s="293" t="s">
        <v>284</v>
      </c>
      <c r="C60" s="295">
        <f>SUM(C54:C59)</f>
        <v>1750</v>
      </c>
      <c r="D60" s="295">
        <f>+'Oct - Dec 2024'!S40+'Oct - Dec 2024'!T40</f>
        <v>1260.6599999999999</v>
      </c>
      <c r="E60" s="358">
        <f t="shared" si="9"/>
        <v>0.72037714285714283</v>
      </c>
      <c r="F60" s="295">
        <f>+C60-D60</f>
        <v>489.34000000000015</v>
      </c>
      <c r="H60" s="271"/>
      <c r="N60" s="115"/>
      <c r="Q60" s="581"/>
    </row>
    <row r="61" spans="2:17" x14ac:dyDescent="0.25">
      <c r="C61" s="290"/>
      <c r="D61" s="290">
        <f>+D60-SUM(D54:D59)</f>
        <v>0</v>
      </c>
      <c r="F61" s="290"/>
      <c r="H61" s="271"/>
      <c r="N61" s="115"/>
      <c r="Q61" s="581"/>
    </row>
    <row r="62" spans="2:17" x14ac:dyDescent="0.25">
      <c r="B62" s="292" t="s">
        <v>285</v>
      </c>
      <c r="C62" s="290"/>
      <c r="D62" s="290"/>
      <c r="F62" s="290"/>
      <c r="N62" s="115"/>
      <c r="Q62" s="581"/>
    </row>
    <row r="63" spans="2:17" x14ac:dyDescent="0.25">
      <c r="B63" s="296" t="s">
        <v>286</v>
      </c>
      <c r="C63" s="290">
        <f>+'Budget Sheet'!I28</f>
        <v>298</v>
      </c>
      <c r="D63" s="290">
        <f>+'Jan - March 2025'!U32</f>
        <v>300</v>
      </c>
      <c r="E63" s="357">
        <f t="shared" ref="E63:E66" si="11">+D63/C63</f>
        <v>1.0067114093959733</v>
      </c>
      <c r="F63" s="290">
        <f t="shared" ref="F63:F65" si="12">+C63-D63</f>
        <v>-2</v>
      </c>
      <c r="N63" s="115"/>
      <c r="Q63" s="581"/>
    </row>
    <row r="64" spans="2:17" x14ac:dyDescent="0.25">
      <c r="B64" s="296" t="s">
        <v>327</v>
      </c>
      <c r="C64" s="290">
        <v>0</v>
      </c>
      <c r="D64" s="290">
        <v>0</v>
      </c>
      <c r="F64" s="290">
        <f t="shared" si="12"/>
        <v>0</v>
      </c>
      <c r="N64" s="115"/>
      <c r="Q64" s="581"/>
    </row>
    <row r="65" spans="2:17" x14ac:dyDescent="0.25">
      <c r="B65" s="296" t="s">
        <v>15</v>
      </c>
      <c r="C65" s="290">
        <v>0</v>
      </c>
      <c r="D65" s="290">
        <v>0</v>
      </c>
      <c r="F65" s="290">
        <f t="shared" si="12"/>
        <v>0</v>
      </c>
      <c r="N65" s="115"/>
    </row>
    <row r="66" spans="2:17" x14ac:dyDescent="0.25">
      <c r="B66" s="293" t="s">
        <v>287</v>
      </c>
      <c r="C66" s="295">
        <f>SUM(C63:C65)</f>
        <v>298</v>
      </c>
      <c r="D66" s="295">
        <f>+'Oct - Dec 2024'!U40</f>
        <v>235</v>
      </c>
      <c r="E66" s="358">
        <f t="shared" si="11"/>
        <v>0.78859060402684567</v>
      </c>
      <c r="F66" s="295">
        <f>+C66-D66</f>
        <v>63</v>
      </c>
      <c r="H66" s="392"/>
      <c r="N66" s="115"/>
    </row>
    <row r="67" spans="2:17" x14ac:dyDescent="0.25">
      <c r="C67" s="290"/>
      <c r="D67" s="290"/>
      <c r="F67" s="290"/>
      <c r="N67" s="115"/>
    </row>
    <row r="68" spans="2:17" x14ac:dyDescent="0.25">
      <c r="B68" s="292" t="s">
        <v>288</v>
      </c>
      <c r="C68" s="290"/>
      <c r="D68" s="290"/>
      <c r="F68" s="290"/>
      <c r="N68" s="115"/>
      <c r="Q68" s="581"/>
    </row>
    <row r="69" spans="2:17" x14ac:dyDescent="0.25">
      <c r="B69" s="296" t="s">
        <v>289</v>
      </c>
      <c r="C69" s="290">
        <v>292</v>
      </c>
      <c r="D69" s="290">
        <f>+'Oct - Dec 2024'!V30</f>
        <v>420</v>
      </c>
      <c r="E69" s="357">
        <f t="shared" ref="E69:E75" si="13">+D69/C69</f>
        <v>1.4383561643835616</v>
      </c>
      <c r="F69" s="290">
        <f t="shared" ref="F69:F74" si="14">+C69-D69</f>
        <v>-128</v>
      </c>
      <c r="N69" s="115"/>
      <c r="Q69" s="581"/>
    </row>
    <row r="70" spans="2:17" x14ac:dyDescent="0.25">
      <c r="B70" s="296" t="s">
        <v>290</v>
      </c>
      <c r="C70" s="290">
        <v>60</v>
      </c>
      <c r="D70" s="290">
        <f>+'Oct - Dec 2024'!L12</f>
        <v>60</v>
      </c>
      <c r="E70" s="357">
        <f t="shared" si="13"/>
        <v>1</v>
      </c>
      <c r="F70" s="290">
        <f t="shared" si="14"/>
        <v>0</v>
      </c>
      <c r="N70" s="115"/>
      <c r="Q70" s="581"/>
    </row>
    <row r="71" spans="2:17" x14ac:dyDescent="0.25">
      <c r="B71" s="296" t="s">
        <v>291</v>
      </c>
      <c r="C71" s="290">
        <v>30</v>
      </c>
      <c r="D71" s="290">
        <f>+'Oct - Dec 2024'!L20</f>
        <v>35</v>
      </c>
      <c r="E71" s="357">
        <f t="shared" si="13"/>
        <v>1.1666666666666667</v>
      </c>
      <c r="F71" s="290">
        <f t="shared" si="14"/>
        <v>-5</v>
      </c>
      <c r="N71" s="115"/>
      <c r="Q71" s="581"/>
    </row>
    <row r="72" spans="2:17" x14ac:dyDescent="0.25">
      <c r="B72" s="296" t="s">
        <v>292</v>
      </c>
      <c r="C72" s="290">
        <v>97.5</v>
      </c>
      <c r="D72" s="290">
        <v>97.5</v>
      </c>
      <c r="E72" s="357">
        <f t="shared" si="13"/>
        <v>1</v>
      </c>
      <c r="F72" s="290">
        <f t="shared" si="14"/>
        <v>0</v>
      </c>
      <c r="N72" s="115"/>
    </row>
    <row r="73" spans="2:17" x14ac:dyDescent="0.25">
      <c r="B73" s="296" t="s">
        <v>293</v>
      </c>
      <c r="C73" s="290">
        <v>1207</v>
      </c>
      <c r="D73" s="290">
        <v>1207</v>
      </c>
      <c r="E73" s="357">
        <f t="shared" si="13"/>
        <v>1</v>
      </c>
      <c r="F73" s="290">
        <f t="shared" si="14"/>
        <v>0</v>
      </c>
      <c r="N73" s="115"/>
    </row>
    <row r="74" spans="2:17" x14ac:dyDescent="0.25">
      <c r="B74" s="296" t="s">
        <v>15</v>
      </c>
      <c r="C74" s="290">
        <v>600</v>
      </c>
      <c r="D74" s="290">
        <v>0</v>
      </c>
      <c r="E74" s="357">
        <f t="shared" si="13"/>
        <v>0</v>
      </c>
      <c r="F74" s="290">
        <f t="shared" si="14"/>
        <v>600</v>
      </c>
      <c r="N74" s="115"/>
    </row>
    <row r="75" spans="2:17" x14ac:dyDescent="0.25">
      <c r="B75" s="293" t="s">
        <v>294</v>
      </c>
      <c r="C75" s="295">
        <f>SUM(C69:C74)</f>
        <v>2286.5</v>
      </c>
      <c r="D75" s="295">
        <f>+'Oct - Dec 2024'!V40</f>
        <v>1819.5</v>
      </c>
      <c r="E75" s="358">
        <f t="shared" si="13"/>
        <v>0.79575770828777603</v>
      </c>
      <c r="F75" s="295">
        <f>+C75-D75</f>
        <v>467</v>
      </c>
      <c r="H75" s="392"/>
    </row>
    <row r="76" spans="2:17" x14ac:dyDescent="0.25">
      <c r="C76" s="290"/>
      <c r="D76" s="290">
        <f>+D75-SUM(D69:D74)</f>
        <v>0</v>
      </c>
      <c r="F76" s="290"/>
    </row>
    <row r="77" spans="2:17" x14ac:dyDescent="0.25">
      <c r="B77" s="292" t="s">
        <v>296</v>
      </c>
      <c r="C77" s="290"/>
      <c r="D77" s="290"/>
      <c r="F77" s="290"/>
    </row>
    <row r="78" spans="2:17" x14ac:dyDescent="0.25">
      <c r="B78" s="296" t="s">
        <v>297</v>
      </c>
      <c r="C78" s="290">
        <f>+'Budget Sheet'!I30</f>
        <v>3150</v>
      </c>
      <c r="D78" s="290">
        <f>+'Jan - March 2025'!W32</f>
        <v>3000</v>
      </c>
      <c r="E78" s="357">
        <f t="shared" ref="E78:E82" si="15">+D78/C78</f>
        <v>0.95238095238095233</v>
      </c>
      <c r="F78" s="290">
        <f t="shared" ref="F78:F81" si="16">+C78-D78</f>
        <v>150</v>
      </c>
    </row>
    <row r="79" spans="2:17" x14ac:dyDescent="0.25">
      <c r="B79" s="296" t="s">
        <v>299</v>
      </c>
      <c r="C79" s="290">
        <v>200</v>
      </c>
      <c r="D79" s="290">
        <v>0</v>
      </c>
      <c r="E79" s="357">
        <f t="shared" si="15"/>
        <v>0</v>
      </c>
      <c r="F79" s="290">
        <f t="shared" si="16"/>
        <v>200</v>
      </c>
    </row>
    <row r="80" spans="2:17" x14ac:dyDescent="0.25">
      <c r="B80" s="296" t="s">
        <v>300</v>
      </c>
      <c r="C80" s="290">
        <v>800</v>
      </c>
      <c r="D80" s="290">
        <v>0</v>
      </c>
      <c r="E80" s="357">
        <f t="shared" si="15"/>
        <v>0</v>
      </c>
      <c r="F80" s="290">
        <f t="shared" si="16"/>
        <v>800</v>
      </c>
    </row>
    <row r="81" spans="2:8" x14ac:dyDescent="0.25">
      <c r="B81" s="296" t="s">
        <v>301</v>
      </c>
      <c r="C81" s="290">
        <v>0</v>
      </c>
      <c r="D81" s="290">
        <v>0</v>
      </c>
      <c r="F81" s="290">
        <f t="shared" si="16"/>
        <v>0</v>
      </c>
    </row>
    <row r="82" spans="2:8" x14ac:dyDescent="0.25">
      <c r="B82" s="302" t="s">
        <v>296</v>
      </c>
      <c r="C82" s="295">
        <f>SUM(C78:C81)</f>
        <v>4150</v>
      </c>
      <c r="D82" s="295">
        <f>+'Oct - Dec 2024'!W40</f>
        <v>3000</v>
      </c>
      <c r="E82" s="358">
        <f t="shared" si="15"/>
        <v>0.72289156626506024</v>
      </c>
      <c r="F82" s="295">
        <f>+C82-D82</f>
        <v>1150</v>
      </c>
    </row>
    <row r="83" spans="2:8" x14ac:dyDescent="0.25">
      <c r="C83" s="290"/>
      <c r="D83" s="290"/>
      <c r="F83" s="290"/>
      <c r="H83" s="392"/>
    </row>
    <row r="84" spans="2:8" x14ac:dyDescent="0.25">
      <c r="B84" s="292" t="s">
        <v>302</v>
      </c>
      <c r="C84" s="290"/>
      <c r="D84" s="290"/>
      <c r="F84" s="290"/>
      <c r="H84" s="392"/>
    </row>
    <row r="85" spans="2:8" x14ac:dyDescent="0.25">
      <c r="B85" s="296" t="s">
        <v>303</v>
      </c>
      <c r="C85" s="290">
        <f>+'Budget Sheet'!I33</f>
        <v>1000</v>
      </c>
      <c r="D85" s="290">
        <v>666.76</v>
      </c>
      <c r="E85" s="357">
        <f>+D85/C85</f>
        <v>0.66676000000000002</v>
      </c>
      <c r="F85" s="290">
        <f t="shared" ref="F85:F86" si="17">+C85-D85</f>
        <v>333.24</v>
      </c>
      <c r="H85" s="392"/>
    </row>
    <row r="86" spans="2:8" x14ac:dyDescent="0.25">
      <c r="B86" s="296" t="s">
        <v>15</v>
      </c>
      <c r="C86" s="290">
        <v>0</v>
      </c>
      <c r="D86" s="290">
        <f>+'Apr - Jun 2024'!Z20</f>
        <v>900.45</v>
      </c>
      <c r="F86" s="290">
        <f t="shared" si="17"/>
        <v>-900.45</v>
      </c>
      <c r="H86" s="392"/>
    </row>
    <row r="87" spans="2:8" x14ac:dyDescent="0.25">
      <c r="B87" s="293" t="s">
        <v>302</v>
      </c>
      <c r="C87" s="295">
        <f>SUM(C85)</f>
        <v>1000</v>
      </c>
      <c r="D87" s="295">
        <f>+'Oct - Dec 2024'!Z40</f>
        <v>1567.21</v>
      </c>
      <c r="E87" s="358">
        <f>+D87/C87</f>
        <v>1.56721</v>
      </c>
      <c r="F87" s="295">
        <f>+C87-D87</f>
        <v>-567.21</v>
      </c>
    </row>
    <row r="88" spans="2:8" x14ac:dyDescent="0.25">
      <c r="B88" s="292"/>
      <c r="C88" s="290"/>
      <c r="D88" s="290"/>
      <c r="F88" s="290"/>
    </row>
    <row r="89" spans="2:8" x14ac:dyDescent="0.25">
      <c r="B89" s="292" t="s">
        <v>305</v>
      </c>
      <c r="C89" s="290"/>
      <c r="D89" s="290"/>
      <c r="F89" s="290"/>
    </row>
    <row r="90" spans="2:8" x14ac:dyDescent="0.25">
      <c r="B90" s="296" t="s">
        <v>306</v>
      </c>
      <c r="C90" s="290">
        <f>+'Budget Sheet'!I34</f>
        <v>386.40000000000003</v>
      </c>
      <c r="D90" s="290">
        <f>+'July - Sept 2024'!AA34+'Oct - Dec 2024'!AA34</f>
        <v>219.89999999999998</v>
      </c>
      <c r="E90" s="357">
        <f>+D90/C90</f>
        <v>0.56909937888198747</v>
      </c>
      <c r="F90" s="290">
        <f t="shared" ref="F90:F91" si="18">+C90-D90</f>
        <v>166.50000000000006</v>
      </c>
    </row>
    <row r="91" spans="2:8" x14ac:dyDescent="0.25">
      <c r="B91" s="296" t="s">
        <v>328</v>
      </c>
      <c r="C91" s="290">
        <v>0</v>
      </c>
      <c r="D91" s="290">
        <v>2000</v>
      </c>
      <c r="F91" s="290">
        <f t="shared" si="18"/>
        <v>-2000</v>
      </c>
    </row>
    <row r="92" spans="2:8" x14ac:dyDescent="0.25">
      <c r="B92" s="293" t="s">
        <v>305</v>
      </c>
      <c r="C92" s="295">
        <f>SUM(C90)</f>
        <v>386.40000000000003</v>
      </c>
      <c r="D92" s="295">
        <f>+'Oct - Dec 2024'!AA40+'Oct - Dec 2024'!AB40</f>
        <v>2219.9</v>
      </c>
      <c r="E92" s="358">
        <f>+D92/C92</f>
        <v>5.7450828157349898</v>
      </c>
      <c r="F92" s="295">
        <f>+C92-D92</f>
        <v>-1833.5</v>
      </c>
      <c r="H92" s="392"/>
    </row>
    <row r="93" spans="2:8" x14ac:dyDescent="0.25">
      <c r="B93" s="292"/>
      <c r="C93" s="290"/>
      <c r="D93" s="290"/>
      <c r="F93" s="290"/>
      <c r="H93" s="392"/>
    </row>
    <row r="94" spans="2:8" x14ac:dyDescent="0.25">
      <c r="B94" s="293" t="s">
        <v>307</v>
      </c>
      <c r="C94" s="295">
        <v>0</v>
      </c>
      <c r="D94" s="295">
        <f>+'Oct - Dec 2024'!AD40</f>
        <v>3969.51</v>
      </c>
      <c r="E94" s="358">
        <v>0</v>
      </c>
      <c r="F94" s="295">
        <f>+C94-D94</f>
        <v>-3969.51</v>
      </c>
      <c r="H94" s="392"/>
    </row>
    <row r="95" spans="2:8" x14ac:dyDescent="0.25">
      <c r="B95" s="292"/>
      <c r="C95" s="290"/>
      <c r="D95" s="290"/>
      <c r="F95" s="290"/>
    </row>
    <row r="96" spans="2:8" x14ac:dyDescent="0.25">
      <c r="B96" s="293" t="s">
        <v>308</v>
      </c>
      <c r="C96" s="295">
        <f>SUM(C92,C87,C82,C75,C66,C60,C51,C50,C48,C40,C30,C18)</f>
        <v>51953.9</v>
      </c>
      <c r="D96" s="295">
        <f>SUM(D92,D87,D82,D75,D66,D60,D51,D50,D48,D40,D30,D18,D94)</f>
        <v>50676.37</v>
      </c>
      <c r="E96" s="358">
        <f>+D96/C96</f>
        <v>0.97541031568371195</v>
      </c>
      <c r="F96" s="295">
        <f>+C96-D96</f>
        <v>1277.5299999999988</v>
      </c>
      <c r="G96" s="385"/>
    </row>
    <row r="97" spans="2:14" x14ac:dyDescent="0.25">
      <c r="C97" s="301"/>
      <c r="D97" s="301"/>
      <c r="F97" s="301"/>
    </row>
    <row r="98" spans="2:14" x14ac:dyDescent="0.25">
      <c r="B98" s="296" t="s">
        <v>309</v>
      </c>
      <c r="C98" s="301">
        <f>+C10-C96</f>
        <v>-2435.9000000000015</v>
      </c>
      <c r="D98" s="301">
        <f>+D10-D96</f>
        <v>2554.8099999999977</v>
      </c>
      <c r="F98" s="301">
        <f>+C98-D98</f>
        <v>-4990.7099999999991</v>
      </c>
      <c r="G98" s="385"/>
      <c r="H98" s="384"/>
    </row>
    <row r="99" spans="2:14" x14ac:dyDescent="0.25">
      <c r="B99" s="296"/>
      <c r="C99" s="301"/>
      <c r="D99" s="301"/>
      <c r="F99" s="301"/>
    </row>
    <row r="100" spans="2:14" x14ac:dyDescent="0.25">
      <c r="B100" s="293" t="s">
        <v>310</v>
      </c>
      <c r="C100" s="295">
        <v>0</v>
      </c>
      <c r="D100" s="295">
        <f>+'Jan - March 2025'!AB32</f>
        <v>2000</v>
      </c>
      <c r="E100" s="358"/>
      <c r="F100" s="295">
        <f>+C100-D100</f>
        <v>-2000</v>
      </c>
    </row>
    <row r="101" spans="2:14" x14ac:dyDescent="0.25">
      <c r="B101" s="292"/>
      <c r="C101" s="290"/>
      <c r="D101" s="290"/>
      <c r="F101" s="290"/>
    </row>
    <row r="102" spans="2:14" x14ac:dyDescent="0.25">
      <c r="B102" s="293" t="s">
        <v>311</v>
      </c>
      <c r="C102" s="295">
        <f>SUM(C78,C75,C38,C28)</f>
        <v>7030.5</v>
      </c>
      <c r="D102" s="295">
        <f>SUM(D78,D75,D38,D28)</f>
        <v>6350.5</v>
      </c>
      <c r="E102" s="358"/>
      <c r="F102" s="295">
        <f>+C102-D102</f>
        <v>680</v>
      </c>
    </row>
    <row r="103" spans="2:14" x14ac:dyDescent="0.25">
      <c r="C103" s="290"/>
      <c r="D103" s="290"/>
      <c r="F103" s="290"/>
    </row>
    <row r="104" spans="2:14" s="268" customFormat="1" x14ac:dyDescent="0.25">
      <c r="B104" s="292" t="s">
        <v>312</v>
      </c>
      <c r="C104" s="301" t="s">
        <v>313</v>
      </c>
      <c r="D104" s="301"/>
      <c r="E104" s="357"/>
      <c r="F104" s="301"/>
      <c r="H104"/>
      <c r="I104"/>
      <c r="J104"/>
      <c r="K104"/>
      <c r="L104"/>
      <c r="M104"/>
      <c r="N104"/>
    </row>
    <row r="105" spans="2:14" s="268" customFormat="1" x14ac:dyDescent="0.25">
      <c r="B105" s="345" t="s">
        <v>241</v>
      </c>
      <c r="C105" s="346">
        <v>17335.2</v>
      </c>
      <c r="D105" s="521">
        <f>+D18</f>
        <v>14991.2</v>
      </c>
      <c r="E105" s="357">
        <f>+D105/C105</f>
        <v>0.86478379251465232</v>
      </c>
      <c r="F105" s="346">
        <f>+C105-D105</f>
        <v>2344</v>
      </c>
      <c r="H105"/>
      <c r="I105"/>
      <c r="J105"/>
      <c r="K105"/>
      <c r="L105"/>
      <c r="M105"/>
      <c r="N105"/>
    </row>
    <row r="106" spans="2:14" s="268" customFormat="1" x14ac:dyDescent="0.25">
      <c r="B106" s="345" t="s">
        <v>255</v>
      </c>
      <c r="C106" s="346">
        <v>7550</v>
      </c>
      <c r="D106" s="521">
        <f>+D30</f>
        <v>4596.9500000000007</v>
      </c>
      <c r="E106" s="357">
        <f t="shared" ref="E106:E109" si="19">+D106/C106</f>
        <v>0.60886754966887424</v>
      </c>
      <c r="F106" s="346">
        <f t="shared" ref="F106:F109" si="20">+C106-D106</f>
        <v>2953.0499999999993</v>
      </c>
      <c r="H106"/>
      <c r="I106"/>
      <c r="J106"/>
      <c r="K106"/>
      <c r="L106"/>
      <c r="M106"/>
      <c r="N106"/>
    </row>
    <row r="107" spans="2:14" s="268" customFormat="1" x14ac:dyDescent="0.25">
      <c r="B107" s="345" t="s">
        <v>265</v>
      </c>
      <c r="C107" s="346">
        <v>14775.25</v>
      </c>
      <c r="D107" s="521">
        <f>+D40</f>
        <v>13210.04</v>
      </c>
      <c r="E107" s="357">
        <f t="shared" si="19"/>
        <v>0.89406541344478108</v>
      </c>
      <c r="F107" s="346">
        <f t="shared" si="20"/>
        <v>1565.2099999999991</v>
      </c>
      <c r="H107"/>
      <c r="I107"/>
      <c r="J107"/>
      <c r="K107"/>
      <c r="L107"/>
      <c r="M107"/>
      <c r="N107"/>
    </row>
    <row r="108" spans="2:14" s="268" customFormat="1" x14ac:dyDescent="0.25">
      <c r="B108" s="363" t="s">
        <v>284</v>
      </c>
      <c r="C108" s="346">
        <v>2645</v>
      </c>
      <c r="D108" s="521">
        <f>+D60</f>
        <v>1260.6599999999999</v>
      </c>
      <c r="E108" s="357">
        <f t="shared" si="19"/>
        <v>0.47662003780718332</v>
      </c>
      <c r="F108" s="346">
        <f t="shared" si="20"/>
        <v>1384.3400000000001</v>
      </c>
      <c r="H108"/>
      <c r="I108"/>
      <c r="J108"/>
      <c r="K108"/>
      <c r="L108"/>
      <c r="M108"/>
      <c r="N108"/>
    </row>
    <row r="109" spans="2:14" s="268" customFormat="1" x14ac:dyDescent="0.25">
      <c r="B109" s="345" t="s">
        <v>314</v>
      </c>
      <c r="C109" s="346">
        <v>8805</v>
      </c>
      <c r="D109" s="521">
        <f>+D92+D87+D82+D75+D66+D51+D50+D48+D94</f>
        <v>16617.52</v>
      </c>
      <c r="E109" s="357">
        <f t="shared" si="19"/>
        <v>1.88728222600795</v>
      </c>
      <c r="F109" s="346">
        <f t="shared" si="20"/>
        <v>-7812.52</v>
      </c>
      <c r="H109"/>
      <c r="I109"/>
      <c r="J109"/>
      <c r="K109"/>
      <c r="L109"/>
      <c r="M109"/>
      <c r="N109"/>
    </row>
    <row r="110" spans="2:14" s="268" customFormat="1" x14ac:dyDescent="0.25">
      <c r="B110" s="347" t="s">
        <v>308</v>
      </c>
      <c r="C110" s="348">
        <f>SUM(C105:C109)</f>
        <v>51110.45</v>
      </c>
      <c r="D110" s="522">
        <f>SUM(D105:D109)</f>
        <v>50676.37000000001</v>
      </c>
      <c r="E110" s="359">
        <f>+D110/C110</f>
        <v>0.99150702057994033</v>
      </c>
      <c r="F110" s="348">
        <f>+C110-D110</f>
        <v>434.07999999998719</v>
      </c>
      <c r="H110"/>
      <c r="I110"/>
      <c r="J110"/>
      <c r="K110"/>
      <c r="L110"/>
      <c r="M110"/>
      <c r="N110"/>
    </row>
    <row r="111" spans="2:14" s="268" customFormat="1" x14ac:dyDescent="0.25">
      <c r="B111"/>
      <c r="C111" s="301"/>
      <c r="D111" s="301"/>
      <c r="E111" s="357"/>
      <c r="F111" s="301"/>
      <c r="H111"/>
      <c r="I111"/>
      <c r="J111"/>
      <c r="K111"/>
      <c r="L111"/>
      <c r="M111"/>
      <c r="N111"/>
    </row>
    <row r="112" spans="2:14" s="268" customFormat="1" x14ac:dyDescent="0.25">
      <c r="B112" s="292" t="s">
        <v>315</v>
      </c>
      <c r="C112"/>
      <c r="D112" s="301"/>
      <c r="E112" s="357"/>
      <c r="F112" s="301"/>
      <c r="H112"/>
      <c r="I112"/>
      <c r="J112"/>
      <c r="K112"/>
      <c r="L112"/>
      <c r="M112"/>
      <c r="N112"/>
    </row>
    <row r="113" spans="2:14" s="268" customFormat="1" x14ac:dyDescent="0.25">
      <c r="B113"/>
      <c r="C113" s="301"/>
      <c r="D113" s="301"/>
      <c r="E113" s="357"/>
      <c r="F113" s="301"/>
      <c r="H113"/>
      <c r="I113"/>
      <c r="J113"/>
      <c r="K113"/>
      <c r="L113"/>
      <c r="M113"/>
      <c r="N113"/>
    </row>
    <row r="114" spans="2:14" s="268" customFormat="1" x14ac:dyDescent="0.25">
      <c r="B114" s="296" t="s">
        <v>316</v>
      </c>
      <c r="C114" s="301"/>
      <c r="D114" s="301"/>
      <c r="E114" s="357"/>
      <c r="F114" s="301"/>
      <c r="H114"/>
      <c r="I114" s="383"/>
      <c r="J114"/>
      <c r="K114"/>
      <c r="L114"/>
      <c r="M114"/>
      <c r="N114"/>
    </row>
    <row r="115" spans="2:14" s="268" customFormat="1" x14ac:dyDescent="0.25">
      <c r="B115"/>
      <c r="C115" s="301"/>
      <c r="D115" s="301"/>
      <c r="E115" s="357"/>
      <c r="F115" s="301"/>
      <c r="H115"/>
      <c r="I115" s="381"/>
      <c r="J115"/>
      <c r="K115"/>
      <c r="L115"/>
      <c r="M115"/>
      <c r="N115"/>
    </row>
    <row r="116" spans="2:14" s="268" customFormat="1" x14ac:dyDescent="0.25">
      <c r="B116" s="296" t="s">
        <v>317</v>
      </c>
      <c r="C116" s="301"/>
      <c r="D116" s="301"/>
      <c r="E116" s="357"/>
      <c r="F116" s="301"/>
      <c r="H116"/>
      <c r="I116"/>
      <c r="J116"/>
      <c r="K116"/>
      <c r="L116"/>
      <c r="M116"/>
      <c r="N116"/>
    </row>
    <row r="117" spans="2:14" s="268" customFormat="1" x14ac:dyDescent="0.25">
      <c r="B117"/>
      <c r="C117" s="301"/>
      <c r="D117" s="301"/>
      <c r="E117" s="357"/>
      <c r="F117" s="301"/>
      <c r="H117"/>
      <c r="I117"/>
      <c r="J117"/>
      <c r="K117"/>
      <c r="L117"/>
      <c r="M117"/>
      <c r="N117"/>
    </row>
    <row r="118" spans="2:14" s="268" customFormat="1" x14ac:dyDescent="0.25">
      <c r="B118" s="296" t="s">
        <v>318</v>
      </c>
      <c r="C118" s="301"/>
      <c r="D118" s="301"/>
      <c r="E118" s="357"/>
      <c r="F118" s="301"/>
      <c r="H118"/>
      <c r="I118"/>
      <c r="J118"/>
      <c r="K118"/>
      <c r="L118"/>
      <c r="M118"/>
      <c r="N118"/>
    </row>
    <row r="119" spans="2:14" s="268" customFormat="1" x14ac:dyDescent="0.25">
      <c r="B119"/>
      <c r="C119" s="301"/>
      <c r="D119" s="301"/>
      <c r="E119" s="357"/>
      <c r="F119" s="301"/>
      <c r="H119"/>
      <c r="I119"/>
      <c r="J119"/>
      <c r="K119"/>
      <c r="L119"/>
      <c r="M119"/>
      <c r="N119"/>
    </row>
    <row r="120" spans="2:14" s="268" customFormat="1" x14ac:dyDescent="0.25">
      <c r="B120"/>
      <c r="C120" s="301"/>
      <c r="D120" s="301"/>
      <c r="E120" s="357"/>
      <c r="F120" s="301"/>
      <c r="H120"/>
      <c r="I120"/>
      <c r="J120"/>
      <c r="K120"/>
      <c r="L120"/>
      <c r="M120"/>
      <c r="N120"/>
    </row>
    <row r="121" spans="2:14" s="268" customFormat="1" x14ac:dyDescent="0.25">
      <c r="B121"/>
      <c r="C121" s="301"/>
      <c r="D121" s="301"/>
      <c r="E121" s="357"/>
      <c r="F121" s="301"/>
      <c r="H121"/>
      <c r="I121"/>
      <c r="J121"/>
      <c r="K121"/>
      <c r="L121"/>
      <c r="M121"/>
      <c r="N121"/>
    </row>
    <row r="122" spans="2:14" s="268" customFormat="1" x14ac:dyDescent="0.25">
      <c r="B122"/>
      <c r="C122" s="301"/>
      <c r="D122" s="301"/>
      <c r="E122" s="357"/>
      <c r="F122" s="301"/>
      <c r="H122"/>
      <c r="I122"/>
      <c r="J122"/>
      <c r="K122"/>
      <c r="L122"/>
      <c r="M122"/>
      <c r="N122"/>
    </row>
    <row r="123" spans="2:14" s="268" customFormat="1" x14ac:dyDescent="0.25">
      <c r="B123"/>
      <c r="C123" s="301"/>
      <c r="D123" s="301"/>
      <c r="E123" s="357"/>
      <c r="F123" s="301"/>
      <c r="H123"/>
      <c r="I123"/>
      <c r="J123"/>
      <c r="K123"/>
      <c r="L123"/>
      <c r="M123"/>
      <c r="N123"/>
    </row>
    <row r="124" spans="2:14" s="268" customFormat="1" x14ac:dyDescent="0.25">
      <c r="B124"/>
      <c r="C124" s="301"/>
      <c r="D124" s="301"/>
      <c r="E124" s="357"/>
      <c r="F124" s="301"/>
      <c r="G124" s="391"/>
      <c r="H124"/>
      <c r="I124"/>
      <c r="J124"/>
      <c r="K124"/>
      <c r="L124"/>
      <c r="M124"/>
      <c r="N124"/>
    </row>
    <row r="125" spans="2:14" s="268" customFormat="1" x14ac:dyDescent="0.25">
      <c r="B125"/>
      <c r="C125" s="301"/>
      <c r="D125" s="301"/>
      <c r="E125" s="357"/>
      <c r="F125" s="301"/>
      <c r="H125"/>
      <c r="I125"/>
      <c r="J125"/>
      <c r="K125"/>
      <c r="L125"/>
      <c r="M125"/>
      <c r="N125"/>
    </row>
    <row r="126" spans="2:14" s="268" customFormat="1" x14ac:dyDescent="0.25">
      <c r="B126"/>
      <c r="C126" s="301"/>
      <c r="D126" s="301"/>
      <c r="E126" s="357"/>
      <c r="F126" s="301"/>
      <c r="H126"/>
      <c r="I126"/>
      <c r="J126"/>
      <c r="K126"/>
      <c r="L126"/>
      <c r="M126"/>
      <c r="N126"/>
    </row>
    <row r="127" spans="2:14" s="268" customFormat="1" x14ac:dyDescent="0.25">
      <c r="B127"/>
      <c r="C127" s="301"/>
      <c r="D127" s="301"/>
      <c r="E127" s="357"/>
      <c r="F127" s="301"/>
      <c r="H127"/>
      <c r="I127"/>
      <c r="J127"/>
      <c r="K127"/>
      <c r="L127"/>
      <c r="M127"/>
      <c r="N127"/>
    </row>
  </sheetData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300"/>
  <rowBreaks count="3" manualBreakCount="3">
    <brk id="31" min="1" max="7" man="1"/>
    <brk id="52" min="1" max="7" man="1"/>
    <brk id="67" min="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E3C6-9478-4896-BE1A-BAE22B6DBFFA}">
  <sheetPr>
    <pageSetUpPr fitToPage="1"/>
  </sheetPr>
  <dimension ref="B2:Q128"/>
  <sheetViews>
    <sheetView topLeftCell="A95" workbookViewId="0">
      <selection activeCell="G108" sqref="G108"/>
    </sheetView>
  </sheetViews>
  <sheetFormatPr defaultRowHeight="15" x14ac:dyDescent="0.25"/>
  <cols>
    <col min="2" max="2" width="42.28515625" bestFit="1" customWidth="1"/>
    <col min="3" max="4" width="15.7109375" customWidth="1"/>
    <col min="5" max="5" width="7.7109375" style="357" bestFit="1" customWidth="1"/>
    <col min="6" max="6" width="15.7109375" customWidth="1"/>
    <col min="7" max="7" width="70.85546875" style="268" customWidth="1"/>
    <col min="8" max="8" width="10.5703125" bestFit="1" customWidth="1"/>
    <col min="9" max="9" width="18" bestFit="1" customWidth="1"/>
    <col min="17" max="17" width="10.42578125" bestFit="1" customWidth="1"/>
  </cols>
  <sheetData>
    <row r="2" spans="2:14" ht="45" x14ac:dyDescent="0.25">
      <c r="B2" s="291" t="s">
        <v>222</v>
      </c>
      <c r="C2" s="344" t="s">
        <v>223</v>
      </c>
      <c r="D2" s="393" t="s">
        <v>224</v>
      </c>
      <c r="E2" s="360" t="s">
        <v>225</v>
      </c>
      <c r="F2" s="362" t="s">
        <v>226</v>
      </c>
    </row>
    <row r="4" spans="2:14" x14ac:dyDescent="0.25">
      <c r="B4" s="292" t="s">
        <v>227</v>
      </c>
      <c r="C4" s="290"/>
      <c r="D4" s="290"/>
      <c r="F4" s="290"/>
    </row>
    <row r="5" spans="2:14" ht="30" x14ac:dyDescent="0.25">
      <c r="B5" s="292" t="s">
        <v>13</v>
      </c>
      <c r="C5" s="290">
        <f>+'Budget Sheet'!I7</f>
        <v>45560</v>
      </c>
      <c r="D5" s="290">
        <v>45560</v>
      </c>
      <c r="E5" s="357">
        <f>+D5/C5</f>
        <v>1</v>
      </c>
      <c r="F5" s="290">
        <f>+C5-D5</f>
        <v>0</v>
      </c>
      <c r="G5" s="268" t="s">
        <v>332</v>
      </c>
    </row>
    <row r="6" spans="2:14" x14ac:dyDescent="0.25">
      <c r="B6" s="292" t="s">
        <v>229</v>
      </c>
      <c r="C6" s="290">
        <f>+'Budget Sheet'!I8</f>
        <v>2364</v>
      </c>
      <c r="D6" s="290">
        <v>2364</v>
      </c>
      <c r="E6" s="357">
        <f>+D6/C6</f>
        <v>1</v>
      </c>
      <c r="F6" s="290">
        <f t="shared" ref="F6:F9" si="0">+C6-D6</f>
        <v>0</v>
      </c>
    </row>
    <row r="7" spans="2:14" x14ac:dyDescent="0.25">
      <c r="B7" s="292" t="s">
        <v>231</v>
      </c>
      <c r="C7" s="290">
        <f>+'Budget Sheet'!I9</f>
        <v>1322.5</v>
      </c>
      <c r="D7" s="290">
        <f>+'Apr - Jun 2024'!J13</f>
        <v>1322.5</v>
      </c>
      <c r="E7" s="357">
        <f>+D7/C7</f>
        <v>1</v>
      </c>
      <c r="F7" s="290">
        <f t="shared" si="0"/>
        <v>0</v>
      </c>
    </row>
    <row r="8" spans="2:14" s="268" customFormat="1" x14ac:dyDescent="0.25">
      <c r="B8" s="292" t="s">
        <v>16</v>
      </c>
      <c r="C8" s="290">
        <v>0</v>
      </c>
      <c r="D8" s="290">
        <f>+'Jan - March 2025'!K32</f>
        <v>3894.18</v>
      </c>
      <c r="E8" s="357"/>
      <c r="F8" s="290">
        <f t="shared" si="0"/>
        <v>-3894.18</v>
      </c>
      <c r="H8"/>
      <c r="I8"/>
      <c r="J8"/>
      <c r="K8"/>
      <c r="L8"/>
      <c r="M8"/>
      <c r="N8"/>
    </row>
    <row r="9" spans="2:14" s="268" customFormat="1" x14ac:dyDescent="0.25">
      <c r="B9" s="292" t="s">
        <v>15</v>
      </c>
      <c r="C9" s="290">
        <f>+'Budget Sheet'!I12</f>
        <v>271.5</v>
      </c>
      <c r="D9" s="290">
        <f>+'Apr - Jun 2024'!J25</f>
        <v>90.5</v>
      </c>
      <c r="E9" s="357"/>
      <c r="F9" s="290">
        <f t="shared" si="0"/>
        <v>181</v>
      </c>
      <c r="H9"/>
      <c r="I9"/>
      <c r="J9"/>
      <c r="K9"/>
      <c r="L9"/>
      <c r="M9"/>
      <c r="N9"/>
    </row>
    <row r="10" spans="2:14" s="268" customFormat="1" x14ac:dyDescent="0.25">
      <c r="B10" s="293" t="s">
        <v>233</v>
      </c>
      <c r="C10" s="295">
        <f>SUM(C5:C9)</f>
        <v>49518</v>
      </c>
      <c r="D10" s="295">
        <f>SUM(D5:D9)</f>
        <v>53231.18</v>
      </c>
      <c r="E10" s="358">
        <f>+D10/C10</f>
        <v>1.0749864695666222</v>
      </c>
      <c r="F10" s="295">
        <f>+C10-D10</f>
        <v>-3713.1800000000003</v>
      </c>
      <c r="G10" s="385"/>
      <c r="H10"/>
      <c r="I10"/>
      <c r="J10"/>
      <c r="K10"/>
      <c r="L10"/>
      <c r="M10"/>
      <c r="N10"/>
    </row>
    <row r="11" spans="2:14" s="268" customFormat="1" x14ac:dyDescent="0.25">
      <c r="B11" s="292" t="s">
        <v>234</v>
      </c>
      <c r="C11" s="290">
        <f>+'Budget Sheet'!I14</f>
        <v>2436.4000000000015</v>
      </c>
      <c r="D11" s="290">
        <f>+'Jan - March 2025'!AB32</f>
        <v>2000</v>
      </c>
      <c r="E11" s="357"/>
      <c r="F11" s="290">
        <f>+C11-D11</f>
        <v>436.40000000000146</v>
      </c>
      <c r="G11" s="268" t="s">
        <v>319</v>
      </c>
      <c r="H11"/>
      <c r="I11"/>
      <c r="J11"/>
      <c r="K11"/>
      <c r="L11"/>
      <c r="M11"/>
      <c r="N11"/>
    </row>
    <row r="12" spans="2:14" s="268" customFormat="1" x14ac:dyDescent="0.25">
      <c r="B12" s="293" t="s">
        <v>236</v>
      </c>
      <c r="C12" s="295">
        <f>SUM(C10:C11)</f>
        <v>51954.400000000001</v>
      </c>
      <c r="D12" s="295">
        <f>SUM(D10:D11)</f>
        <v>55231.18</v>
      </c>
      <c r="E12" s="358"/>
      <c r="F12" s="295"/>
      <c r="G12" s="385"/>
      <c r="H12"/>
      <c r="I12"/>
      <c r="J12"/>
      <c r="K12"/>
      <c r="L12"/>
      <c r="M12"/>
      <c r="N12"/>
    </row>
    <row r="13" spans="2:14" s="268" customFormat="1" x14ac:dyDescent="0.25">
      <c r="B13" s="292"/>
      <c r="C13" s="290"/>
      <c r="D13" s="290"/>
      <c r="E13" s="357"/>
      <c r="F13" s="290"/>
      <c r="G13" s="385"/>
      <c r="H13"/>
      <c r="I13"/>
      <c r="J13"/>
      <c r="K13"/>
      <c r="L13"/>
      <c r="M13"/>
      <c r="N13"/>
    </row>
    <row r="14" spans="2:14" s="268" customFormat="1" x14ac:dyDescent="0.25">
      <c r="B14" s="292" t="s">
        <v>237</v>
      </c>
      <c r="C14" s="290"/>
      <c r="D14" s="290"/>
      <c r="E14" s="357"/>
      <c r="F14" s="290"/>
      <c r="H14"/>
      <c r="I14"/>
      <c r="J14"/>
      <c r="K14"/>
      <c r="L14"/>
      <c r="M14"/>
      <c r="N14"/>
    </row>
    <row r="15" spans="2:14" s="268" customFormat="1" x14ac:dyDescent="0.25">
      <c r="B15" s="296" t="s">
        <v>238</v>
      </c>
      <c r="C15" s="290">
        <f>+'Budget Sheet'!I20-C16-C17</f>
        <v>13780</v>
      </c>
      <c r="D15" s="290">
        <f>+'Apr - Jun 2024'!M6+'Apr - Jun 2024'!M22+'Apr - Jun 2024'!M27+'July - Sept 2024'!M8+'July - Sept 2024'!M16+'July - Sept 2024'!M25+'Oct - Dec 2024'!M7+'Oct - Dec 2024'!M14+'Oct - Dec 2024'!M26+'Jan - March 2025'!M7+'Jan - March 2025'!M14+'Jan - March 2025'!M20</f>
        <v>13245.9</v>
      </c>
      <c r="E15" s="357">
        <f>+D15/C15</f>
        <v>0.96124092888243828</v>
      </c>
      <c r="F15" s="290">
        <f t="shared" ref="F15:F17" si="1">+C15-D15</f>
        <v>534.10000000000036</v>
      </c>
      <c r="G15" s="385"/>
      <c r="H15"/>
      <c r="I15"/>
      <c r="J15"/>
      <c r="K15"/>
      <c r="L15"/>
      <c r="M15"/>
      <c r="N15"/>
    </row>
    <row r="16" spans="2:14" s="268" customFormat="1" x14ac:dyDescent="0.25">
      <c r="B16" s="296" t="s">
        <v>239</v>
      </c>
      <c r="C16" s="290">
        <v>1195</v>
      </c>
      <c r="D16" s="290">
        <f>+'Apr - Jun 2024'!M7+'Apr - Jun 2024'!M23+'Apr - Jun 2024'!M28+'July - Sept 2024'!M9+'July - Sept 2024'!M17+'July - Sept 2024'!M26+'Oct - Dec 2024'!M8+'Oct - Dec 2024'!M15+'Oct - Dec 2024'!M27+'Jan - March 2025'!M8+'Jan - March 2025'!M15+'Jan - March 2025'!M21</f>
        <v>1376.5799999999997</v>
      </c>
      <c r="E16" s="357">
        <f>+D16/C16</f>
        <v>1.1519497907949787</v>
      </c>
      <c r="F16" s="290">
        <f t="shared" si="1"/>
        <v>-181.5799999999997</v>
      </c>
      <c r="G16" s="392"/>
      <c r="H16"/>
      <c r="I16"/>
      <c r="J16"/>
      <c r="K16"/>
      <c r="L16"/>
      <c r="M16"/>
      <c r="N16"/>
    </row>
    <row r="17" spans="2:14" s="268" customFormat="1" x14ac:dyDescent="0.25">
      <c r="B17" s="296" t="s">
        <v>240</v>
      </c>
      <c r="C17" s="290">
        <v>4525</v>
      </c>
      <c r="D17" s="290">
        <f>+'Apr - Jun 2024'!M8+'Apr - Jun 2024'!M24+'Apr - Jun 2024'!M29+'July - Sept 2024'!M10+'July - Sept 2024'!M18+'July - Sept 2024'!M27+'Oct - Dec 2024'!M9+'Oct - Dec 2024'!M16+'Oct - Dec 2024'!M28+'Jan - March 2025'!M9+'Jan - March 2025'!M16+'Jan - March 2025'!M22</f>
        <v>5360.03</v>
      </c>
      <c r="E17" s="357">
        <f>+D17/C17</f>
        <v>1.1845370165745857</v>
      </c>
      <c r="F17" s="290">
        <f t="shared" si="1"/>
        <v>-835.02999999999975</v>
      </c>
      <c r="H17"/>
      <c r="I17"/>
      <c r="J17"/>
      <c r="K17"/>
      <c r="L17"/>
      <c r="M17"/>
      <c r="N17"/>
    </row>
    <row r="18" spans="2:14" s="268" customFormat="1" x14ac:dyDescent="0.25">
      <c r="B18" s="297" t="s">
        <v>241</v>
      </c>
      <c r="C18" s="295">
        <f>SUM(C15:C17)</f>
        <v>19500</v>
      </c>
      <c r="D18" s="295">
        <f>SUM(D15:D17)</f>
        <v>19982.509999999998</v>
      </c>
      <c r="E18" s="358">
        <f>+D18/C18</f>
        <v>1.0247441025641024</v>
      </c>
      <c r="F18" s="294">
        <f>+C18-D18</f>
        <v>-482.5099999999984</v>
      </c>
      <c r="H18"/>
      <c r="I18"/>
      <c r="J18"/>
      <c r="K18"/>
      <c r="L18"/>
      <c r="M18"/>
      <c r="N18"/>
    </row>
    <row r="19" spans="2:14" s="268" customFormat="1" x14ac:dyDescent="0.25">
      <c r="B19"/>
      <c r="C19" s="290"/>
      <c r="D19" s="290">
        <f>+D18-'Jan - March 2025'!M32</f>
        <v>0</v>
      </c>
      <c r="E19" s="357"/>
      <c r="F19" s="290"/>
      <c r="H19"/>
      <c r="I19"/>
      <c r="J19" s="476"/>
      <c r="K19"/>
      <c r="L19"/>
      <c r="M19"/>
      <c r="N19"/>
    </row>
    <row r="20" spans="2:14" x14ac:dyDescent="0.25">
      <c r="B20" s="292" t="s">
        <v>243</v>
      </c>
      <c r="C20" s="290"/>
      <c r="D20" s="290"/>
      <c r="F20" s="290"/>
    </row>
    <row r="21" spans="2:14" x14ac:dyDescent="0.25">
      <c r="B21" s="296" t="s">
        <v>244</v>
      </c>
      <c r="C21" s="290">
        <v>630</v>
      </c>
      <c r="D21" s="290">
        <f>+'Apr - Jun 2024'!N6+'Apr - Jun 2024'!N7+'Apr - Jun 2024'!N22+'Apr - Jun 2024'!N23+'Apr - Jun 2024'!N27+'Apr - Jun 2024'!N28+'July - Sept 2024'!N8+'July - Sept 2024'!N16+'July - Sept 2024'!N25+'Oct - Dec 2024'!N7+'Oct - Dec 2024'!N14+'Oct - Dec 2024'!N26+'Jan - March 2025'!N7+'Jan - March 2025'!N14+'Jan - March 2025'!N20</f>
        <v>634.38</v>
      </c>
      <c r="E21" s="357">
        <f t="shared" ref="E21:E30" si="2">+D21/C21</f>
        <v>1.006952380952381</v>
      </c>
      <c r="F21" s="290">
        <f t="shared" ref="F21:F29" si="3">+C21-D21</f>
        <v>-4.3799999999999955</v>
      </c>
      <c r="G21" s="296"/>
      <c r="H21" s="473"/>
    </row>
    <row r="22" spans="2:14" x14ac:dyDescent="0.25">
      <c r="B22" s="296" t="s">
        <v>245</v>
      </c>
      <c r="C22" s="290">
        <v>683</v>
      </c>
      <c r="D22" s="290">
        <f>+'Apr - Jun 2024'!N11</f>
        <v>660</v>
      </c>
      <c r="E22" s="357">
        <f t="shared" si="2"/>
        <v>0.96632503660322111</v>
      </c>
      <c r="F22" s="290">
        <f t="shared" si="3"/>
        <v>23</v>
      </c>
      <c r="G22" s="296"/>
      <c r="H22" s="473"/>
    </row>
    <row r="23" spans="2:14" x14ac:dyDescent="0.25">
      <c r="B23" s="296" t="s">
        <v>247</v>
      </c>
      <c r="C23" s="290">
        <v>3518</v>
      </c>
      <c r="D23" s="290">
        <f>+'July - Sept 2024'!N29</f>
        <v>3350</v>
      </c>
      <c r="E23" s="357">
        <f t="shared" si="2"/>
        <v>0.95224559408754972</v>
      </c>
      <c r="F23" s="290">
        <f t="shared" si="3"/>
        <v>168</v>
      </c>
      <c r="G23" s="296"/>
      <c r="H23" s="473"/>
      <c r="N23" s="76"/>
    </row>
    <row r="24" spans="2:14" x14ac:dyDescent="0.25">
      <c r="B24" s="296" t="s">
        <v>249</v>
      </c>
      <c r="C24" s="290">
        <v>60</v>
      </c>
      <c r="D24" s="290">
        <v>0</v>
      </c>
      <c r="E24" s="357">
        <f t="shared" si="2"/>
        <v>0</v>
      </c>
      <c r="F24" s="290">
        <f t="shared" si="3"/>
        <v>60</v>
      </c>
      <c r="G24" s="296"/>
      <c r="H24" s="473"/>
      <c r="N24" s="76"/>
    </row>
    <row r="25" spans="2:14" x14ac:dyDescent="0.25">
      <c r="B25" s="296" t="s">
        <v>250</v>
      </c>
      <c r="C25" s="290">
        <v>39.5</v>
      </c>
      <c r="D25" s="290">
        <v>0</v>
      </c>
      <c r="E25" s="357">
        <f t="shared" si="2"/>
        <v>0</v>
      </c>
      <c r="F25" s="290">
        <f t="shared" si="3"/>
        <v>39.5</v>
      </c>
      <c r="G25" s="296"/>
      <c r="H25" s="473"/>
      <c r="N25" s="76"/>
    </row>
    <row r="26" spans="2:14" x14ac:dyDescent="0.25">
      <c r="B26" s="296" t="s">
        <v>251</v>
      </c>
      <c r="C26" s="290">
        <v>450</v>
      </c>
      <c r="D26" s="290">
        <f>+'July - Sept 2024'!N15+'Jan - March 2025'!N11</f>
        <v>183.67</v>
      </c>
      <c r="E26" s="357">
        <f t="shared" si="2"/>
        <v>0.40815555555555555</v>
      </c>
      <c r="F26" s="290">
        <f t="shared" si="3"/>
        <v>266.33000000000004</v>
      </c>
      <c r="G26" s="296"/>
      <c r="H26" s="473"/>
      <c r="N26" s="76"/>
    </row>
    <row r="27" spans="2:14" x14ac:dyDescent="0.25">
      <c r="B27" s="296" t="s">
        <v>252</v>
      </c>
      <c r="C27" s="290">
        <v>0</v>
      </c>
      <c r="D27" s="290">
        <v>0</v>
      </c>
      <c r="E27" s="357">
        <v>0</v>
      </c>
      <c r="F27" s="290">
        <f t="shared" si="3"/>
        <v>0</v>
      </c>
      <c r="G27" s="296"/>
      <c r="H27" s="473"/>
      <c r="N27" s="76"/>
    </row>
    <row r="28" spans="2:14" x14ac:dyDescent="0.25">
      <c r="B28" s="296" t="s">
        <v>253</v>
      </c>
      <c r="C28" s="290">
        <v>119.5</v>
      </c>
      <c r="D28" s="290">
        <f>+'Oct - Dec 2024'!N33</f>
        <v>47</v>
      </c>
      <c r="E28" s="357">
        <f t="shared" si="2"/>
        <v>0.39330543933054396</v>
      </c>
      <c r="F28" s="290">
        <f t="shared" si="3"/>
        <v>72.5</v>
      </c>
      <c r="G28" s="296"/>
      <c r="H28" s="473"/>
      <c r="N28" s="361"/>
    </row>
    <row r="29" spans="2:14" x14ac:dyDescent="0.25">
      <c r="B29" s="296" t="s">
        <v>254</v>
      </c>
      <c r="C29" s="290">
        <v>0</v>
      </c>
      <c r="D29" s="290">
        <v>0</v>
      </c>
      <c r="E29" s="357" t="e">
        <f t="shared" si="2"/>
        <v>#DIV/0!</v>
      </c>
      <c r="F29" s="290">
        <f t="shared" si="3"/>
        <v>0</v>
      </c>
      <c r="N29" s="76"/>
    </row>
    <row r="30" spans="2:14" x14ac:dyDescent="0.25">
      <c r="B30" s="297" t="s">
        <v>255</v>
      </c>
      <c r="C30" s="295">
        <f>SUM(C21:C29)</f>
        <v>5500</v>
      </c>
      <c r="D30" s="295">
        <f>SUM(D21:D29)</f>
        <v>4875.05</v>
      </c>
      <c r="E30" s="358">
        <f t="shared" si="2"/>
        <v>0.88637272727272731</v>
      </c>
      <c r="F30" s="294">
        <f>+C30-D30</f>
        <v>624.94999999999982</v>
      </c>
      <c r="H30" s="474"/>
      <c r="N30" s="76"/>
    </row>
    <row r="31" spans="2:14" x14ac:dyDescent="0.25">
      <c r="C31" s="290"/>
      <c r="D31" s="290">
        <f>D30-'Jan - March 2025'!N32</f>
        <v>0</v>
      </c>
      <c r="F31" s="290"/>
      <c r="J31" s="381"/>
      <c r="N31" s="76"/>
    </row>
    <row r="32" spans="2:14" x14ac:dyDescent="0.25">
      <c r="B32" s="292" t="s">
        <v>256</v>
      </c>
      <c r="C32" s="290"/>
      <c r="D32" s="290"/>
      <c r="F32" s="290"/>
      <c r="N32" s="76"/>
    </row>
    <row r="33" spans="2:17" x14ac:dyDescent="0.25">
      <c r="B33" s="298" t="s">
        <v>257</v>
      </c>
      <c r="C33" s="290">
        <v>2035</v>
      </c>
      <c r="D33" s="290">
        <f>1357+678.33</f>
        <v>2035.33</v>
      </c>
      <c r="E33" s="357">
        <f t="shared" ref="E33:E40" si="4">+D33/C33</f>
        <v>1.0001621621621621</v>
      </c>
      <c r="F33" s="290">
        <f t="shared" ref="F33:F39" si="5">+C33-D33</f>
        <v>-0.32999999999992724</v>
      </c>
      <c r="G33"/>
      <c r="H33" s="473"/>
      <c r="N33" s="76"/>
    </row>
    <row r="34" spans="2:17" x14ac:dyDescent="0.25">
      <c r="B34" s="298" t="s">
        <v>258</v>
      </c>
      <c r="C34" s="290">
        <v>6384</v>
      </c>
      <c r="D34" s="290">
        <f>7411.5+141.5</f>
        <v>7553</v>
      </c>
      <c r="E34" s="357">
        <f t="shared" si="4"/>
        <v>1.1831140350877194</v>
      </c>
      <c r="F34" s="290">
        <f t="shared" si="5"/>
        <v>-1169</v>
      </c>
      <c r="G34"/>
      <c r="H34" s="473"/>
      <c r="I34" s="381"/>
      <c r="N34" s="76"/>
    </row>
    <row r="35" spans="2:17" x14ac:dyDescent="0.25">
      <c r="B35" s="298" t="s">
        <v>259</v>
      </c>
      <c r="C35" s="290">
        <v>572</v>
      </c>
      <c r="D35" s="290">
        <f>601.5+75.6</f>
        <v>677.1</v>
      </c>
      <c r="E35" s="357">
        <f t="shared" si="4"/>
        <v>1.1837412587412588</v>
      </c>
      <c r="F35" s="290">
        <f t="shared" si="5"/>
        <v>-105.10000000000002</v>
      </c>
      <c r="G35"/>
      <c r="H35" s="473"/>
      <c r="N35" s="76"/>
    </row>
    <row r="36" spans="2:17" x14ac:dyDescent="0.25">
      <c r="B36" s="298" t="s">
        <v>260</v>
      </c>
      <c r="C36" s="290">
        <v>571.5</v>
      </c>
      <c r="D36" s="290">
        <f>405.75+165.75</f>
        <v>571.5</v>
      </c>
      <c r="E36" s="357">
        <f t="shared" si="4"/>
        <v>1</v>
      </c>
      <c r="F36" s="290">
        <f t="shared" si="5"/>
        <v>0</v>
      </c>
      <c r="G36"/>
      <c r="H36" s="473"/>
      <c r="N36" s="76"/>
    </row>
    <row r="37" spans="2:17" x14ac:dyDescent="0.25">
      <c r="B37" s="298" t="s">
        <v>261</v>
      </c>
      <c r="C37" s="290">
        <v>1416</v>
      </c>
      <c r="D37" s="290">
        <v>1415.5</v>
      </c>
      <c r="E37" s="357">
        <f t="shared" si="4"/>
        <v>0.99964689265536721</v>
      </c>
      <c r="F37" s="290">
        <f t="shared" si="5"/>
        <v>0.5</v>
      </c>
      <c r="G37"/>
      <c r="H37" s="473"/>
      <c r="I37" s="381"/>
      <c r="N37" s="76"/>
    </row>
    <row r="38" spans="2:17" x14ac:dyDescent="0.25">
      <c r="B38" s="298" t="s">
        <v>262</v>
      </c>
      <c r="C38" s="290">
        <v>1474.5</v>
      </c>
      <c r="D38" s="290">
        <f>742+742</f>
        <v>1484</v>
      </c>
      <c r="E38" s="357">
        <f t="shared" si="4"/>
        <v>1.0064428619871142</v>
      </c>
      <c r="F38" s="290">
        <f t="shared" si="5"/>
        <v>-9.5</v>
      </c>
      <c r="G38"/>
      <c r="H38" s="473"/>
      <c r="N38" s="76"/>
      <c r="O38" s="383"/>
    </row>
    <row r="39" spans="2:17" x14ac:dyDescent="0.25">
      <c r="B39" s="298" t="s">
        <v>263</v>
      </c>
      <c r="C39" s="290">
        <v>2400</v>
      </c>
      <c r="D39" s="290">
        <f>75+35</f>
        <v>110</v>
      </c>
      <c r="E39" s="380">
        <f>+D39/C39</f>
        <v>4.583333333333333E-2</v>
      </c>
      <c r="F39" s="290">
        <f t="shared" si="5"/>
        <v>2290</v>
      </c>
      <c r="G39"/>
      <c r="H39" s="473"/>
      <c r="J39" s="384"/>
      <c r="K39" s="381"/>
      <c r="N39" s="76"/>
    </row>
    <row r="40" spans="2:17" x14ac:dyDescent="0.25">
      <c r="B40" s="299" t="s">
        <v>265</v>
      </c>
      <c r="C40" s="295">
        <f>SUM(C33:C39)</f>
        <v>14853</v>
      </c>
      <c r="D40" s="295">
        <f>SUM(D33:D39)</f>
        <v>13846.43</v>
      </c>
      <c r="E40" s="358">
        <f t="shared" si="4"/>
        <v>0.93223119908436003</v>
      </c>
      <c r="F40" s="294">
        <f>+C40-D40</f>
        <v>1006.5699999999997</v>
      </c>
      <c r="G40"/>
      <c r="H40" s="473"/>
      <c r="N40" s="76"/>
    </row>
    <row r="41" spans="2:17" x14ac:dyDescent="0.25">
      <c r="B41" s="298"/>
      <c r="C41" s="290"/>
      <c r="D41" s="290">
        <f>+D40-'Jan - March 2025'!O32</f>
        <v>-0.11000000000058208</v>
      </c>
      <c r="E41" s="472"/>
      <c r="F41" s="290"/>
      <c r="G41"/>
      <c r="H41" s="349"/>
      <c r="N41" s="76"/>
    </row>
    <row r="42" spans="2:17" x14ac:dyDescent="0.25">
      <c r="B42" s="298"/>
      <c r="C42" s="290"/>
      <c r="D42" s="290"/>
      <c r="F42" s="290"/>
      <c r="G42" s="381"/>
      <c r="H42" s="349"/>
      <c r="N42" s="76"/>
      <c r="O42" s="383"/>
      <c r="Q42" s="582"/>
    </row>
    <row r="43" spans="2:17" x14ac:dyDescent="0.25">
      <c r="B43" s="300" t="s">
        <v>267</v>
      </c>
      <c r="C43" s="290"/>
      <c r="D43" s="290"/>
      <c r="F43" s="290"/>
      <c r="G43"/>
      <c r="H43" s="349"/>
      <c r="N43" s="76"/>
      <c r="Q43" s="582"/>
    </row>
    <row r="44" spans="2:17" x14ac:dyDescent="0.25">
      <c r="B44" s="298" t="s">
        <v>268</v>
      </c>
      <c r="C44" s="290">
        <f>+'Budget Sheet'!I23-'YTD Budget Report'!C45-'YTD Budget Report'!C46</f>
        <v>1245</v>
      </c>
      <c r="D44" s="290">
        <f>+'Apr - Jun 2024'!P19+'Oct - Dec 2024'!P24+'Oct - Dec 2024'!P25</f>
        <v>2891</v>
      </c>
      <c r="E44" s="357">
        <f t="shared" ref="E44:E48" si="6">+D44/C44</f>
        <v>2.3220883534136547</v>
      </c>
      <c r="F44" s="290">
        <f t="shared" ref="F44:F47" si="7">+C44-D44</f>
        <v>-1646</v>
      </c>
      <c r="G44"/>
      <c r="H44" s="580"/>
      <c r="N44" s="76"/>
      <c r="Q44" s="581"/>
    </row>
    <row r="45" spans="2:17" x14ac:dyDescent="0.25">
      <c r="B45" s="298" t="s">
        <v>269</v>
      </c>
      <c r="C45" s="290">
        <v>35</v>
      </c>
      <c r="D45" s="290">
        <f>35</f>
        <v>35</v>
      </c>
      <c r="E45" s="357">
        <f t="shared" si="6"/>
        <v>1</v>
      </c>
      <c r="F45" s="290">
        <f t="shared" si="7"/>
        <v>0</v>
      </c>
      <c r="G45"/>
      <c r="H45" s="349"/>
      <c r="N45" s="76"/>
      <c r="Q45" s="581"/>
    </row>
    <row r="46" spans="2:17" x14ac:dyDescent="0.25">
      <c r="B46" s="298" t="s">
        <v>270</v>
      </c>
      <c r="C46" s="290">
        <v>220</v>
      </c>
      <c r="D46" s="290">
        <f>+'Jan - March 2025'!P24</f>
        <v>0</v>
      </c>
      <c r="E46" s="357">
        <f t="shared" si="6"/>
        <v>0</v>
      </c>
      <c r="F46" s="290">
        <f t="shared" si="7"/>
        <v>220</v>
      </c>
      <c r="N46" s="76"/>
      <c r="Q46" s="581"/>
    </row>
    <row r="47" spans="2:17" x14ac:dyDescent="0.25">
      <c r="B47" s="298" t="s">
        <v>271</v>
      </c>
      <c r="C47" s="290">
        <v>0</v>
      </c>
      <c r="D47" s="290">
        <f>+'Apr - Jun 2024'!P14</f>
        <v>174</v>
      </c>
      <c r="F47" s="290">
        <f t="shared" si="7"/>
        <v>-174</v>
      </c>
      <c r="N47" s="76"/>
      <c r="Q47" s="581"/>
    </row>
    <row r="48" spans="2:17" x14ac:dyDescent="0.25">
      <c r="B48" s="299" t="s">
        <v>272</v>
      </c>
      <c r="C48" s="295">
        <f>SUM(C44:C47)</f>
        <v>1500</v>
      </c>
      <c r="D48" s="295">
        <f>SUM(D44:D47)</f>
        <v>3100</v>
      </c>
      <c r="E48" s="358">
        <f t="shared" si="6"/>
        <v>2.0666666666666669</v>
      </c>
      <c r="F48" s="295">
        <f>+C48-D48</f>
        <v>-1600</v>
      </c>
      <c r="H48" s="271"/>
      <c r="N48" s="76"/>
      <c r="O48" s="383"/>
      <c r="Q48" s="581"/>
    </row>
    <row r="49" spans="2:17" x14ac:dyDescent="0.25">
      <c r="B49" s="298"/>
      <c r="C49" s="290"/>
      <c r="D49" s="290">
        <f>+D48-'Jan - March 2025'!P32</f>
        <v>0</v>
      </c>
      <c r="F49" s="290"/>
      <c r="N49" s="76"/>
      <c r="O49" s="383"/>
      <c r="Q49" s="583"/>
    </row>
    <row r="50" spans="2:17" x14ac:dyDescent="0.25">
      <c r="B50" s="299" t="s">
        <v>88</v>
      </c>
      <c r="C50" s="295">
        <f>+'Budget Sheet'!I24</f>
        <v>80</v>
      </c>
      <c r="D50" s="295">
        <f>+'Jan - March 2025'!Q32</f>
        <v>71.400000000000006</v>
      </c>
      <c r="E50" s="358">
        <f t="shared" ref="E50:E51" si="8">+D50/C50</f>
        <v>0.89250000000000007</v>
      </c>
      <c r="F50" s="295">
        <f>+C50-D50</f>
        <v>8.5999999999999943</v>
      </c>
      <c r="H50" s="271"/>
      <c r="N50" s="76"/>
      <c r="O50" s="383"/>
      <c r="Q50" s="581"/>
    </row>
    <row r="51" spans="2:17" x14ac:dyDescent="0.25">
      <c r="B51" s="299" t="s">
        <v>274</v>
      </c>
      <c r="C51" s="295">
        <f>+'Budget Sheet'!I25</f>
        <v>650</v>
      </c>
      <c r="D51" s="295">
        <f>+'Jan - March 2025'!R32</f>
        <v>635</v>
      </c>
      <c r="E51" s="358">
        <f t="shared" si="8"/>
        <v>0.97692307692307689</v>
      </c>
      <c r="F51" s="295">
        <f>+C51-D51</f>
        <v>15</v>
      </c>
      <c r="H51" s="271"/>
      <c r="N51" s="76"/>
      <c r="O51" s="383"/>
      <c r="Q51" s="581"/>
    </row>
    <row r="52" spans="2:17" x14ac:dyDescent="0.25">
      <c r="B52" s="296"/>
      <c r="C52" s="290"/>
      <c r="D52" s="290"/>
      <c r="F52" s="290"/>
      <c r="N52" s="76"/>
      <c r="Q52" s="581"/>
    </row>
    <row r="53" spans="2:17" x14ac:dyDescent="0.25">
      <c r="B53" s="292" t="s">
        <v>276</v>
      </c>
      <c r="C53" s="290"/>
      <c r="D53" s="290"/>
      <c r="F53" s="290"/>
      <c r="N53" s="115"/>
      <c r="O53" s="381"/>
    </row>
    <row r="54" spans="2:17" x14ac:dyDescent="0.25">
      <c r="B54" s="296" t="s">
        <v>277</v>
      </c>
      <c r="C54" s="290">
        <f>+'Budget Sheet'!I26</f>
        <v>650</v>
      </c>
      <c r="D54" s="290">
        <f>+'Apr - Jun 2024'!S39</f>
        <v>790.17</v>
      </c>
      <c r="E54" s="357">
        <f t="shared" ref="E54:E60" si="9">+D54/C54</f>
        <v>1.2156461538461538</v>
      </c>
      <c r="F54" s="290">
        <f t="shared" ref="F54:F59" si="10">+C54-D54</f>
        <v>-140.16999999999996</v>
      </c>
      <c r="N54" s="115"/>
      <c r="O54" s="381"/>
    </row>
    <row r="55" spans="2:17" x14ac:dyDescent="0.25">
      <c r="B55" s="296" t="s">
        <v>85</v>
      </c>
      <c r="C55" s="290">
        <v>35</v>
      </c>
      <c r="D55" s="290">
        <f>+'Apr - Jun 2024'!T34</f>
        <v>35</v>
      </c>
      <c r="E55" s="357">
        <f t="shared" si="9"/>
        <v>1</v>
      </c>
      <c r="F55" s="290">
        <f t="shared" si="10"/>
        <v>0</v>
      </c>
      <c r="N55" s="115"/>
    </row>
    <row r="56" spans="2:17" x14ac:dyDescent="0.25">
      <c r="B56" s="296" t="s">
        <v>280</v>
      </c>
      <c r="C56" s="290">
        <v>627</v>
      </c>
      <c r="D56" s="290">
        <f>+'Jan - March 2025'!T12</f>
        <v>610.23</v>
      </c>
      <c r="E56" s="357">
        <f t="shared" si="9"/>
        <v>0.97325358851674648</v>
      </c>
      <c r="F56" s="290">
        <f t="shared" si="10"/>
        <v>16.769999999999982</v>
      </c>
      <c r="N56" s="115"/>
      <c r="Q56" s="581"/>
    </row>
    <row r="57" spans="2:17" x14ac:dyDescent="0.25">
      <c r="B57" s="296" t="s">
        <v>59</v>
      </c>
      <c r="C57" s="290">
        <v>183</v>
      </c>
      <c r="D57" s="290">
        <f>+'Apr - Jun 2024'!T17</f>
        <v>183</v>
      </c>
      <c r="E57" s="357">
        <f t="shared" si="9"/>
        <v>1</v>
      </c>
      <c r="F57" s="290">
        <f t="shared" si="10"/>
        <v>0</v>
      </c>
      <c r="N57" s="115"/>
      <c r="Q57" s="581"/>
    </row>
    <row r="58" spans="2:17" x14ac:dyDescent="0.25">
      <c r="B58" s="296" t="s">
        <v>282</v>
      </c>
      <c r="C58" s="290">
        <v>70</v>
      </c>
      <c r="D58" s="290">
        <v>67.41</v>
      </c>
      <c r="E58" s="357">
        <f>+D58/(C58+C59)</f>
        <v>0.26435294117647057</v>
      </c>
      <c r="F58" s="290">
        <f t="shared" si="10"/>
        <v>2.5900000000000034</v>
      </c>
      <c r="N58" s="115"/>
      <c r="Q58" s="581"/>
    </row>
    <row r="59" spans="2:17" x14ac:dyDescent="0.25">
      <c r="B59" s="296" t="s">
        <v>283</v>
      </c>
      <c r="C59" s="290">
        <v>185</v>
      </c>
      <c r="D59" s="290">
        <v>185.08</v>
      </c>
      <c r="E59" s="357">
        <f>+D59/(C59+C60)</f>
        <v>9.5648578811369511E-2</v>
      </c>
      <c r="F59" s="290">
        <f t="shared" si="10"/>
        <v>-8.0000000000012506E-2</v>
      </c>
      <c r="N59" s="115"/>
      <c r="Q59" s="581"/>
    </row>
    <row r="60" spans="2:17" x14ac:dyDescent="0.25">
      <c r="B60" s="293" t="s">
        <v>284</v>
      </c>
      <c r="C60" s="295">
        <f>SUM(C54:C59)</f>
        <v>1750</v>
      </c>
      <c r="D60" s="295">
        <f>+'Jan - March 2025'!S32+'Jan - March 2025'!T32</f>
        <v>1870.8899999999999</v>
      </c>
      <c r="E60" s="358">
        <f t="shared" si="9"/>
        <v>1.06908</v>
      </c>
      <c r="F60" s="295">
        <f>+C60-D60</f>
        <v>-120.88999999999987</v>
      </c>
      <c r="H60" s="271"/>
      <c r="N60" s="115"/>
      <c r="Q60" s="581"/>
    </row>
    <row r="61" spans="2:17" x14ac:dyDescent="0.25">
      <c r="C61" s="290"/>
      <c r="D61" s="290">
        <f>+D60-SUM(D54:D59)</f>
        <v>0</v>
      </c>
      <c r="F61" s="290"/>
      <c r="H61" s="271"/>
      <c r="N61" s="115"/>
      <c r="Q61" s="581"/>
    </row>
    <row r="62" spans="2:17" x14ac:dyDescent="0.25">
      <c r="B62" s="292" t="s">
        <v>285</v>
      </c>
      <c r="C62" s="290"/>
      <c r="D62" s="290"/>
      <c r="F62" s="290"/>
      <c r="N62" s="115"/>
      <c r="Q62" s="581"/>
    </row>
    <row r="63" spans="2:17" x14ac:dyDescent="0.25">
      <c r="B63" s="296" t="s">
        <v>286</v>
      </c>
      <c r="C63" s="290">
        <f>+'Budget Sheet'!I28</f>
        <v>298</v>
      </c>
      <c r="D63" s="290">
        <f>+'Jan - March 2025'!U32</f>
        <v>300</v>
      </c>
      <c r="E63" s="357">
        <f t="shared" ref="E63:E66" si="11">+D63/C63</f>
        <v>1.0067114093959733</v>
      </c>
      <c r="F63" s="290">
        <f t="shared" ref="F63:F65" si="12">+C63-D63</f>
        <v>-2</v>
      </c>
      <c r="N63" s="115"/>
      <c r="Q63" s="581"/>
    </row>
    <row r="64" spans="2:17" x14ac:dyDescent="0.25">
      <c r="B64" s="296" t="s">
        <v>327</v>
      </c>
      <c r="C64" s="290">
        <v>0</v>
      </c>
      <c r="D64" s="290">
        <v>0</v>
      </c>
      <c r="F64" s="290">
        <f t="shared" si="12"/>
        <v>0</v>
      </c>
      <c r="N64" s="115"/>
      <c r="Q64" s="581"/>
    </row>
    <row r="65" spans="2:17" x14ac:dyDescent="0.25">
      <c r="B65" s="296" t="s">
        <v>15</v>
      </c>
      <c r="C65" s="290">
        <v>0</v>
      </c>
      <c r="D65" s="290">
        <v>0</v>
      </c>
      <c r="F65" s="290">
        <f t="shared" si="12"/>
        <v>0</v>
      </c>
      <c r="N65" s="115"/>
    </row>
    <row r="66" spans="2:17" x14ac:dyDescent="0.25">
      <c r="B66" s="293" t="s">
        <v>287</v>
      </c>
      <c r="C66" s="295">
        <f>SUM(C63:C65)</f>
        <v>298</v>
      </c>
      <c r="D66" s="295">
        <f>+'Jan - March 2025'!U32</f>
        <v>300</v>
      </c>
      <c r="E66" s="358">
        <f t="shared" si="11"/>
        <v>1.0067114093959733</v>
      </c>
      <c r="F66" s="295">
        <f>+C66-D66</f>
        <v>-2</v>
      </c>
      <c r="H66" s="392"/>
      <c r="N66" s="115"/>
    </row>
    <row r="67" spans="2:17" x14ac:dyDescent="0.25">
      <c r="C67" s="290"/>
      <c r="D67" s="290"/>
      <c r="F67" s="290"/>
      <c r="N67" s="115"/>
    </row>
    <row r="68" spans="2:17" x14ac:dyDescent="0.25">
      <c r="B68" s="292" t="s">
        <v>288</v>
      </c>
      <c r="C68" s="290"/>
      <c r="D68" s="290"/>
      <c r="F68" s="290"/>
      <c r="N68" s="115"/>
      <c r="Q68" s="581"/>
    </row>
    <row r="69" spans="2:17" x14ac:dyDescent="0.25">
      <c r="B69" s="296" t="s">
        <v>289</v>
      </c>
      <c r="C69" s="290">
        <v>292</v>
      </c>
      <c r="D69" s="290">
        <f>+'Oct - Dec 2024'!V30</f>
        <v>420</v>
      </c>
      <c r="E69" s="357">
        <f t="shared" ref="E69:E75" si="13">+D69/C69</f>
        <v>1.4383561643835616</v>
      </c>
      <c r="F69" s="290">
        <f t="shared" ref="F69:F74" si="14">+C69-D69</f>
        <v>-128</v>
      </c>
      <c r="N69" s="115"/>
      <c r="Q69" s="581"/>
    </row>
    <row r="70" spans="2:17" x14ac:dyDescent="0.25">
      <c r="B70" s="296" t="s">
        <v>290</v>
      </c>
      <c r="C70" s="290">
        <v>60</v>
      </c>
      <c r="D70" s="290">
        <f>+'Oct - Dec 2024'!L12</f>
        <v>60</v>
      </c>
      <c r="E70" s="357">
        <f t="shared" si="13"/>
        <v>1</v>
      </c>
      <c r="F70" s="290">
        <f t="shared" si="14"/>
        <v>0</v>
      </c>
      <c r="N70" s="115"/>
      <c r="Q70" s="581"/>
    </row>
    <row r="71" spans="2:17" x14ac:dyDescent="0.25">
      <c r="B71" s="296" t="s">
        <v>291</v>
      </c>
      <c r="C71" s="290">
        <v>30</v>
      </c>
      <c r="D71" s="290">
        <f>+'Oct - Dec 2024'!L20</f>
        <v>35</v>
      </c>
      <c r="E71" s="357">
        <f t="shared" si="13"/>
        <v>1.1666666666666667</v>
      </c>
      <c r="F71" s="290">
        <f t="shared" si="14"/>
        <v>-5</v>
      </c>
      <c r="N71" s="115"/>
      <c r="Q71" s="581"/>
    </row>
    <row r="72" spans="2:17" x14ac:dyDescent="0.25">
      <c r="B72" s="296" t="s">
        <v>292</v>
      </c>
      <c r="C72" s="290">
        <v>97.5</v>
      </c>
      <c r="D72" s="290">
        <v>97.5</v>
      </c>
      <c r="E72" s="357">
        <f t="shared" si="13"/>
        <v>1</v>
      </c>
      <c r="F72" s="290">
        <f t="shared" si="14"/>
        <v>0</v>
      </c>
      <c r="N72" s="115"/>
    </row>
    <row r="73" spans="2:17" x14ac:dyDescent="0.25">
      <c r="B73" s="296" t="s">
        <v>293</v>
      </c>
      <c r="C73" s="290">
        <v>1207</v>
      </c>
      <c r="D73" s="290">
        <v>1207</v>
      </c>
      <c r="E73" s="357">
        <f t="shared" si="13"/>
        <v>1</v>
      </c>
      <c r="F73" s="290">
        <f t="shared" si="14"/>
        <v>0</v>
      </c>
      <c r="N73" s="115"/>
    </row>
    <row r="74" spans="2:17" x14ac:dyDescent="0.25">
      <c r="B74" s="296" t="s">
        <v>15</v>
      </c>
      <c r="C74" s="290">
        <v>600</v>
      </c>
      <c r="D74" s="290">
        <f>+'Jan - March 2025'!V18+'Jan - March 2025'!V28</f>
        <v>-42.08</v>
      </c>
      <c r="E74" s="357">
        <f t="shared" si="13"/>
        <v>-7.0133333333333325E-2</v>
      </c>
      <c r="F74" s="290">
        <f t="shared" si="14"/>
        <v>642.08000000000004</v>
      </c>
      <c r="G74" s="268" t="s">
        <v>333</v>
      </c>
      <c r="N74" s="115"/>
    </row>
    <row r="75" spans="2:17" x14ac:dyDescent="0.25">
      <c r="B75" s="293" t="s">
        <v>294</v>
      </c>
      <c r="C75" s="295">
        <f>SUM(C69:C74)</f>
        <v>2286.5</v>
      </c>
      <c r="D75" s="295">
        <f>+'Jan - March 2025'!V32</f>
        <v>1777.42</v>
      </c>
      <c r="E75" s="358">
        <f t="shared" si="13"/>
        <v>0.77735403455062324</v>
      </c>
      <c r="F75" s="295">
        <f>+C75-D75</f>
        <v>509.07999999999993</v>
      </c>
      <c r="H75" s="392"/>
    </row>
    <row r="76" spans="2:17" x14ac:dyDescent="0.25">
      <c r="C76" s="290"/>
      <c r="D76" s="290">
        <f>+D75-SUM(D69:D74)</f>
        <v>0</v>
      </c>
      <c r="F76" s="290"/>
    </row>
    <row r="77" spans="2:17" x14ac:dyDescent="0.25">
      <c r="B77" s="292" t="s">
        <v>296</v>
      </c>
      <c r="C77" s="290"/>
      <c r="D77" s="290"/>
      <c r="F77" s="290"/>
    </row>
    <row r="78" spans="2:17" x14ac:dyDescent="0.25">
      <c r="B78" s="296" t="s">
        <v>297</v>
      </c>
      <c r="C78" s="290">
        <f>+'Budget Sheet'!I30</f>
        <v>3150</v>
      </c>
      <c r="D78" s="290">
        <f>+'Jan - March 2025'!W32</f>
        <v>3000</v>
      </c>
      <c r="E78" s="357">
        <f t="shared" ref="E78:E82" si="15">+D78/C78</f>
        <v>0.95238095238095233</v>
      </c>
      <c r="F78" s="290">
        <f t="shared" ref="F78:F81" si="16">+C78-D78</f>
        <v>150</v>
      </c>
    </row>
    <row r="79" spans="2:17" x14ac:dyDescent="0.25">
      <c r="B79" s="296" t="s">
        <v>299</v>
      </c>
      <c r="C79" s="290">
        <v>200</v>
      </c>
      <c r="D79" s="290">
        <v>0</v>
      </c>
      <c r="E79" s="357">
        <f t="shared" si="15"/>
        <v>0</v>
      </c>
      <c r="F79" s="290">
        <f t="shared" si="16"/>
        <v>200</v>
      </c>
    </row>
    <row r="80" spans="2:17" x14ac:dyDescent="0.25">
      <c r="B80" s="296" t="s">
        <v>300</v>
      </c>
      <c r="C80" s="290">
        <v>800</v>
      </c>
      <c r="D80" s="290">
        <f>+'Jan - March 2025'!Y24</f>
        <v>32.68</v>
      </c>
      <c r="E80" s="357">
        <f t="shared" si="15"/>
        <v>4.0849999999999997E-2</v>
      </c>
      <c r="F80" s="290">
        <f t="shared" si="16"/>
        <v>767.32</v>
      </c>
    </row>
    <row r="81" spans="2:8" x14ac:dyDescent="0.25">
      <c r="B81" s="296" t="s">
        <v>301</v>
      </c>
      <c r="C81" s="290">
        <v>0</v>
      </c>
      <c r="D81" s="290">
        <v>0</v>
      </c>
      <c r="F81" s="290">
        <f t="shared" si="16"/>
        <v>0</v>
      </c>
    </row>
    <row r="82" spans="2:8" x14ac:dyDescent="0.25">
      <c r="B82" s="302" t="s">
        <v>296</v>
      </c>
      <c r="C82" s="295">
        <f>SUM(C78:C81)</f>
        <v>4150</v>
      </c>
      <c r="D82" s="295">
        <f>+'Jan - March 2025'!W32+'Jan - March 2025'!Y32</f>
        <v>3032.68</v>
      </c>
      <c r="E82" s="358">
        <f t="shared" si="15"/>
        <v>0.73076626506024089</v>
      </c>
      <c r="F82" s="295">
        <f>+C82-D82</f>
        <v>1117.3200000000002</v>
      </c>
    </row>
    <row r="83" spans="2:8" x14ac:dyDescent="0.25">
      <c r="C83" s="290"/>
      <c r="D83" s="290">
        <f>+D82-SUM(D78:D81)</f>
        <v>0</v>
      </c>
      <c r="F83" s="290"/>
      <c r="H83" s="392"/>
    </row>
    <row r="84" spans="2:8" x14ac:dyDescent="0.25">
      <c r="B84" s="292" t="s">
        <v>302</v>
      </c>
      <c r="C84" s="290"/>
      <c r="D84" s="290"/>
      <c r="F84" s="290"/>
      <c r="H84" s="392"/>
    </row>
    <row r="85" spans="2:8" x14ac:dyDescent="0.25">
      <c r="B85" s="296" t="s">
        <v>303</v>
      </c>
      <c r="C85" s="290">
        <f>+'Budget Sheet'!I33</f>
        <v>1000</v>
      </c>
      <c r="D85" s="290">
        <v>666.76</v>
      </c>
      <c r="E85" s="357">
        <f>+D85/C85</f>
        <v>0.66676000000000002</v>
      </c>
      <c r="F85" s="290">
        <f t="shared" ref="F85:F86" si="17">+C85-D85</f>
        <v>333.24</v>
      </c>
      <c r="G85" s="268" t="s">
        <v>334</v>
      </c>
      <c r="H85" s="392"/>
    </row>
    <row r="86" spans="2:8" x14ac:dyDescent="0.25">
      <c r="B86" s="296" t="s">
        <v>15</v>
      </c>
      <c r="C86" s="290">
        <v>0</v>
      </c>
      <c r="D86" s="290">
        <f>+'Apr - Jun 2024'!Z20</f>
        <v>900.45</v>
      </c>
      <c r="F86" s="290">
        <f t="shared" si="17"/>
        <v>-900.45</v>
      </c>
      <c r="G86" s="268" t="s">
        <v>335</v>
      </c>
      <c r="H86" s="392"/>
    </row>
    <row r="87" spans="2:8" x14ac:dyDescent="0.25">
      <c r="B87" s="293" t="s">
        <v>302</v>
      </c>
      <c r="C87" s="295">
        <f>SUM(C85)</f>
        <v>1000</v>
      </c>
      <c r="D87" s="295">
        <f>+'Jan - March 2025'!Z32</f>
        <v>1567.21</v>
      </c>
      <c r="E87" s="358">
        <f>+D87/C87</f>
        <v>1.56721</v>
      </c>
      <c r="F87" s="295">
        <f>+C87-D87</f>
        <v>-567.21</v>
      </c>
    </row>
    <row r="88" spans="2:8" x14ac:dyDescent="0.25">
      <c r="B88" s="292"/>
      <c r="C88" s="290"/>
      <c r="D88" s="290"/>
      <c r="F88" s="290"/>
    </row>
    <row r="89" spans="2:8" x14ac:dyDescent="0.25">
      <c r="B89" s="292" t="s">
        <v>305</v>
      </c>
      <c r="C89" s="290"/>
      <c r="D89" s="290"/>
      <c r="F89" s="290"/>
    </row>
    <row r="90" spans="2:8" x14ac:dyDescent="0.25">
      <c r="B90" s="296" t="s">
        <v>306</v>
      </c>
      <c r="C90" s="290">
        <f>+'Budget Sheet'!I34</f>
        <v>386.40000000000003</v>
      </c>
      <c r="D90" s="290">
        <f>+'July - Sept 2024'!AA34+'Oct - Dec 2024'!AA34</f>
        <v>219.89999999999998</v>
      </c>
      <c r="E90" s="357">
        <f>+D90/C90</f>
        <v>0.56909937888198747</v>
      </c>
      <c r="F90" s="290">
        <f t="shared" ref="F90:F91" si="18">+C90-D90</f>
        <v>166.50000000000006</v>
      </c>
      <c r="G90" s="268" t="s">
        <v>336</v>
      </c>
    </row>
    <row r="91" spans="2:8" x14ac:dyDescent="0.25">
      <c r="B91" s="296" t="s">
        <v>328</v>
      </c>
      <c r="C91" s="290">
        <v>0</v>
      </c>
      <c r="D91" s="290">
        <v>2000</v>
      </c>
      <c r="F91" s="290">
        <f t="shared" si="18"/>
        <v>-2000</v>
      </c>
    </row>
    <row r="92" spans="2:8" x14ac:dyDescent="0.25">
      <c r="B92" s="293" t="s">
        <v>305</v>
      </c>
      <c r="C92" s="295">
        <f>SUM(C90)</f>
        <v>386.40000000000003</v>
      </c>
      <c r="D92" s="295">
        <f>+'Jan - March 2025'!AA32+'Jan - March 2025'!AB32</f>
        <v>2219.9</v>
      </c>
      <c r="E92" s="358">
        <f>+D92/C92</f>
        <v>5.7450828157349898</v>
      </c>
      <c r="F92" s="295">
        <f>+C92-D92</f>
        <v>-1833.5</v>
      </c>
      <c r="H92" s="392"/>
    </row>
    <row r="93" spans="2:8" x14ac:dyDescent="0.25">
      <c r="B93" s="292"/>
      <c r="C93" s="290"/>
      <c r="D93" s="290"/>
      <c r="F93" s="290"/>
      <c r="H93" s="392"/>
    </row>
    <row r="94" spans="2:8" x14ac:dyDescent="0.25">
      <c r="B94" s="293" t="s">
        <v>307</v>
      </c>
      <c r="C94" s="295">
        <v>0</v>
      </c>
      <c r="D94" s="295">
        <f>+'Jan - March 2025'!AD32</f>
        <v>4264.1000000000004</v>
      </c>
      <c r="E94" s="358">
        <v>0</v>
      </c>
      <c r="F94" s="295">
        <f>+C94-D94</f>
        <v>-4264.1000000000004</v>
      </c>
      <c r="H94" s="392"/>
    </row>
    <row r="95" spans="2:8" x14ac:dyDescent="0.25">
      <c r="B95" s="292"/>
      <c r="C95" s="290"/>
      <c r="D95" s="290"/>
      <c r="F95" s="290"/>
    </row>
    <row r="96" spans="2:8" x14ac:dyDescent="0.25">
      <c r="B96" s="293" t="s">
        <v>308</v>
      </c>
      <c r="C96" s="295">
        <f>SUM(C92,C87,C82,C75,C66,C60,C51,C50,C48,C40,C30,C18)</f>
        <v>51953.9</v>
      </c>
      <c r="D96" s="295">
        <f>SUM(D92,D87,D82,D75,D66,D60,D51,D50,D48,D40,D30,D18,D94)</f>
        <v>57542.590000000004</v>
      </c>
      <c r="E96" s="358">
        <f>+D96/C96</f>
        <v>1.1075701727877985</v>
      </c>
      <c r="F96" s="295">
        <f>+C96-D96</f>
        <v>-5588.6900000000023</v>
      </c>
      <c r="G96" s="385"/>
    </row>
    <row r="97" spans="2:14" x14ac:dyDescent="0.25">
      <c r="C97" s="301"/>
      <c r="D97" s="301"/>
      <c r="F97" s="301"/>
    </row>
    <row r="98" spans="2:14" x14ac:dyDescent="0.25">
      <c r="B98" s="296" t="s">
        <v>337</v>
      </c>
      <c r="C98" s="301">
        <f>+C10-C96</f>
        <v>-2435.9000000000015</v>
      </c>
      <c r="D98" s="301">
        <f>+D10-D96</f>
        <v>-4311.4100000000035</v>
      </c>
      <c r="F98" s="301">
        <f>C98-D98</f>
        <v>1875.510000000002</v>
      </c>
      <c r="G98" s="385"/>
      <c r="H98" s="384"/>
    </row>
    <row r="99" spans="2:14" x14ac:dyDescent="0.25">
      <c r="B99" s="296"/>
      <c r="C99" s="301"/>
      <c r="D99" s="301"/>
      <c r="F99" s="301"/>
    </row>
    <row r="100" spans="2:14" x14ac:dyDescent="0.25">
      <c r="B100" s="293" t="s">
        <v>310</v>
      </c>
      <c r="C100" s="295">
        <v>0</v>
      </c>
      <c r="D100" s="295">
        <f>+'Jan - March 2025'!AB32</f>
        <v>2000</v>
      </c>
      <c r="E100" s="358"/>
      <c r="F100" s="295">
        <f>+C100-D100</f>
        <v>-2000</v>
      </c>
    </row>
    <row r="101" spans="2:14" x14ac:dyDescent="0.25">
      <c r="B101" s="292"/>
      <c r="C101" s="290"/>
      <c r="D101" s="290"/>
      <c r="F101" s="290"/>
    </row>
    <row r="102" spans="2:14" x14ac:dyDescent="0.25">
      <c r="B102" s="293" t="s">
        <v>311</v>
      </c>
      <c r="C102" s="295">
        <f>SUM(C78,C75,C38,C28)</f>
        <v>7030.5</v>
      </c>
      <c r="D102" s="295">
        <f>+'Jan - March 2025'!AH32</f>
        <v>6360</v>
      </c>
      <c r="E102" s="358"/>
      <c r="F102" s="295">
        <f>+C102-D102</f>
        <v>670.5</v>
      </c>
    </row>
    <row r="103" spans="2:14" x14ac:dyDescent="0.25">
      <c r="C103" s="290"/>
      <c r="D103" s="290"/>
      <c r="F103" s="290"/>
    </row>
    <row r="104" spans="2:14" s="268" customFormat="1" x14ac:dyDescent="0.25">
      <c r="B104" s="292" t="s">
        <v>312</v>
      </c>
      <c r="C104" s="301" t="s">
        <v>313</v>
      </c>
      <c r="D104" s="301"/>
      <c r="E104" s="357"/>
      <c r="F104" s="301"/>
      <c r="H104"/>
      <c r="I104"/>
      <c r="J104"/>
      <c r="K104"/>
      <c r="L104"/>
      <c r="M104"/>
      <c r="N104"/>
    </row>
    <row r="105" spans="2:14" s="268" customFormat="1" x14ac:dyDescent="0.25">
      <c r="B105" s="345" t="s">
        <v>241</v>
      </c>
      <c r="C105" s="346">
        <f>+C18</f>
        <v>19500</v>
      </c>
      <c r="D105" s="521">
        <f>+D18</f>
        <v>19982.509999999998</v>
      </c>
      <c r="E105" s="357">
        <f t="shared" ref="E105:E110" si="19">+D105/C105</f>
        <v>1.0247441025641024</v>
      </c>
      <c r="F105" s="346">
        <f>+C105-D105</f>
        <v>-482.5099999999984</v>
      </c>
      <c r="H105"/>
      <c r="I105"/>
      <c r="J105"/>
      <c r="K105"/>
      <c r="L105"/>
      <c r="M105"/>
      <c r="N105"/>
    </row>
    <row r="106" spans="2:14" s="268" customFormat="1" x14ac:dyDescent="0.25">
      <c r="B106" s="345" t="s">
        <v>255</v>
      </c>
      <c r="C106" s="346">
        <f>+C30+C66</f>
        <v>5798</v>
      </c>
      <c r="D106" s="346">
        <f t="shared" ref="D106:F106" si="20">+D30+D66</f>
        <v>5175.05</v>
      </c>
      <c r="E106" s="357">
        <f t="shared" si="19"/>
        <v>0.89255777854432561</v>
      </c>
      <c r="F106" s="346">
        <f t="shared" si="20"/>
        <v>622.94999999999982</v>
      </c>
      <c r="H106"/>
      <c r="I106"/>
      <c r="J106"/>
      <c r="K106"/>
      <c r="L106"/>
      <c r="M106"/>
      <c r="N106"/>
    </row>
    <row r="107" spans="2:14" s="268" customFormat="1" x14ac:dyDescent="0.25">
      <c r="B107" s="345" t="s">
        <v>265</v>
      </c>
      <c r="C107" s="346">
        <f>+C40</f>
        <v>14853</v>
      </c>
      <c r="D107" s="521">
        <f>+D40</f>
        <v>13846.43</v>
      </c>
      <c r="E107" s="357">
        <f t="shared" si="19"/>
        <v>0.93223119908436003</v>
      </c>
      <c r="F107" s="346">
        <f t="shared" ref="F107:F109" si="21">+C107-D107</f>
        <v>1006.5699999999997</v>
      </c>
      <c r="H107"/>
      <c r="I107"/>
      <c r="J107"/>
      <c r="K107"/>
      <c r="L107"/>
      <c r="M107"/>
      <c r="N107"/>
    </row>
    <row r="108" spans="2:14" s="268" customFormat="1" x14ac:dyDescent="0.25">
      <c r="B108" s="345" t="s">
        <v>338</v>
      </c>
      <c r="C108" s="346">
        <f>+C48</f>
        <v>1500</v>
      </c>
      <c r="D108" s="346">
        <f t="shared" ref="D108:F108" si="22">+D48</f>
        <v>3100</v>
      </c>
      <c r="E108" s="357">
        <f t="shared" si="19"/>
        <v>2.0666666666666669</v>
      </c>
      <c r="F108" s="346">
        <f t="shared" si="22"/>
        <v>-1600</v>
      </c>
      <c r="H108"/>
      <c r="I108"/>
      <c r="J108"/>
      <c r="K108"/>
      <c r="L108"/>
      <c r="M108"/>
      <c r="N108"/>
    </row>
    <row r="109" spans="2:14" s="268" customFormat="1" ht="17.25" customHeight="1" x14ac:dyDescent="0.25">
      <c r="B109" s="363" t="s">
        <v>284</v>
      </c>
      <c r="C109" s="346">
        <f>+C60</f>
        <v>1750</v>
      </c>
      <c r="D109" s="521">
        <f>+D60</f>
        <v>1870.8899999999999</v>
      </c>
      <c r="E109" s="357">
        <f t="shared" si="19"/>
        <v>1.06908</v>
      </c>
      <c r="F109" s="346">
        <f t="shared" si="21"/>
        <v>-120.88999999999987</v>
      </c>
      <c r="H109"/>
      <c r="I109"/>
      <c r="J109"/>
      <c r="K109"/>
      <c r="L109"/>
      <c r="M109"/>
      <c r="N109"/>
    </row>
    <row r="110" spans="2:14" s="268" customFormat="1" x14ac:dyDescent="0.25">
      <c r="B110" s="345" t="s">
        <v>314</v>
      </c>
      <c r="C110" s="346">
        <f>+C50+C51+C75+C82+C87+C92</f>
        <v>8552.9</v>
      </c>
      <c r="D110" s="346">
        <f>+D50+D51+D75+D82+D87+D92+D94</f>
        <v>13567.710000000001</v>
      </c>
      <c r="E110" s="357">
        <f t="shared" si="19"/>
        <v>1.586328613686586</v>
      </c>
      <c r="F110" s="346">
        <f>+C110-D110</f>
        <v>-5014.8100000000013</v>
      </c>
      <c r="H110"/>
      <c r="I110"/>
      <c r="J110"/>
      <c r="K110"/>
      <c r="L110"/>
      <c r="M110"/>
      <c r="N110"/>
    </row>
    <row r="111" spans="2:14" s="268" customFormat="1" x14ac:dyDescent="0.25">
      <c r="B111" s="347" t="s">
        <v>308</v>
      </c>
      <c r="C111" s="348">
        <f>SUM(C105:C110)</f>
        <v>51953.9</v>
      </c>
      <c r="D111" s="348">
        <f>SUM(D105:D110)</f>
        <v>57542.59</v>
      </c>
      <c r="E111" s="359">
        <f>+D111/C111</f>
        <v>1.1075701727877982</v>
      </c>
      <c r="F111" s="348">
        <f>C111-D111</f>
        <v>-5588.6899999999951</v>
      </c>
      <c r="H111"/>
      <c r="I111"/>
      <c r="J111"/>
      <c r="K111"/>
      <c r="L111"/>
      <c r="M111"/>
      <c r="N111"/>
    </row>
    <row r="112" spans="2:14" s="268" customFormat="1" x14ac:dyDescent="0.25">
      <c r="B112"/>
      <c r="C112" s="301"/>
      <c r="D112" s="301"/>
      <c r="E112" s="357"/>
      <c r="F112" s="301"/>
      <c r="H112"/>
      <c r="I112"/>
      <c r="J112"/>
      <c r="K112"/>
      <c r="L112"/>
      <c r="M112"/>
      <c r="N112"/>
    </row>
    <row r="113" spans="2:14" s="268" customFormat="1" x14ac:dyDescent="0.25">
      <c r="B113" s="292" t="s">
        <v>339</v>
      </c>
      <c r="C113"/>
      <c r="D113" s="523">
        <v>60871.39</v>
      </c>
      <c r="E113" s="357"/>
      <c r="F113" s="301"/>
      <c r="H113"/>
      <c r="I113"/>
      <c r="J113"/>
      <c r="K113"/>
      <c r="L113"/>
      <c r="M113"/>
      <c r="N113"/>
    </row>
    <row r="114" spans="2:14" s="268" customFormat="1" x14ac:dyDescent="0.25">
      <c r="B114" s="268" t="s">
        <v>340</v>
      </c>
      <c r="D114" s="301">
        <v>-22780</v>
      </c>
      <c r="E114" s="357"/>
      <c r="F114" s="301"/>
      <c r="H114"/>
      <c r="I114"/>
      <c r="J114"/>
      <c r="K114"/>
      <c r="L114"/>
      <c r="M114"/>
      <c r="N114"/>
    </row>
    <row r="115" spans="2:14" s="268" customFormat="1" x14ac:dyDescent="0.25">
      <c r="B115" s="268" t="s">
        <v>341</v>
      </c>
      <c r="D115" s="593">
        <f>+D113+D114</f>
        <v>38091.39</v>
      </c>
    </row>
    <row r="116" spans="2:14" s="268" customFormat="1" x14ac:dyDescent="0.25">
      <c r="B116" s="384" t="s">
        <v>342</v>
      </c>
      <c r="C116" s="301"/>
      <c r="D116" s="301">
        <f>+D10</f>
        <v>53231.18</v>
      </c>
      <c r="E116" s="357"/>
      <c r="F116" s="301"/>
      <c r="H116"/>
      <c r="I116" s="383"/>
      <c r="J116"/>
      <c r="K116"/>
      <c r="L116"/>
      <c r="M116"/>
      <c r="N116"/>
    </row>
    <row r="117" spans="2:14" s="268" customFormat="1" x14ac:dyDescent="0.25">
      <c r="B117" s="296" t="s">
        <v>343</v>
      </c>
      <c r="C117" s="301"/>
      <c r="D117" s="301">
        <f>+D96</f>
        <v>57542.590000000004</v>
      </c>
      <c r="E117" s="357"/>
      <c r="F117" s="301"/>
      <c r="H117"/>
      <c r="I117"/>
      <c r="J117"/>
      <c r="K117"/>
      <c r="L117"/>
      <c r="M117"/>
      <c r="N117"/>
    </row>
    <row r="118" spans="2:14" s="268" customFormat="1" x14ac:dyDescent="0.25">
      <c r="B118" t="s">
        <v>344</v>
      </c>
      <c r="C118" s="301"/>
      <c r="D118" s="593">
        <f>+D115+D116-D117</f>
        <v>33779.980000000003</v>
      </c>
      <c r="E118" s="357"/>
      <c r="F118" s="301"/>
      <c r="H118"/>
      <c r="I118"/>
      <c r="J118"/>
      <c r="K118"/>
      <c r="L118"/>
      <c r="M118"/>
      <c r="N118"/>
    </row>
    <row r="119" spans="2:14" s="268" customFormat="1" x14ac:dyDescent="0.25">
      <c r="B119" s="296" t="s">
        <v>345</v>
      </c>
      <c r="C119" s="301"/>
      <c r="D119" s="301">
        <v>5477</v>
      </c>
      <c r="E119" s="357"/>
      <c r="F119" s="301"/>
      <c r="H119"/>
      <c r="I119"/>
      <c r="J119"/>
      <c r="K119"/>
      <c r="L119"/>
      <c r="M119"/>
      <c r="N119"/>
    </row>
    <row r="120" spans="2:14" s="268" customFormat="1" x14ac:dyDescent="0.25">
      <c r="B120" t="s">
        <v>346</v>
      </c>
      <c r="C120" s="301"/>
      <c r="D120" s="523">
        <f>+D118-D119</f>
        <v>28302.980000000003</v>
      </c>
      <c r="E120" s="357"/>
      <c r="F120" s="301"/>
      <c r="H120"/>
      <c r="I120"/>
      <c r="J120"/>
      <c r="K120"/>
      <c r="L120"/>
      <c r="M120"/>
      <c r="N120"/>
    </row>
    <row r="121" spans="2:14" s="268" customFormat="1" x14ac:dyDescent="0.25">
      <c r="B121"/>
      <c r="C121" s="301"/>
      <c r="D121" s="301"/>
      <c r="E121" s="357"/>
      <c r="F121" s="301"/>
      <c r="H121"/>
      <c r="I121"/>
      <c r="J121"/>
      <c r="K121"/>
      <c r="L121"/>
      <c r="M121"/>
      <c r="N121"/>
    </row>
    <row r="122" spans="2:14" s="268" customFormat="1" x14ac:dyDescent="0.25">
      <c r="B122"/>
      <c r="C122" s="301"/>
      <c r="D122" s="301"/>
      <c r="E122" s="357"/>
      <c r="F122" s="301"/>
      <c r="H122"/>
      <c r="I122"/>
      <c r="J122"/>
      <c r="K122"/>
      <c r="L122"/>
      <c r="M122"/>
      <c r="N122"/>
    </row>
    <row r="123" spans="2:14" s="268" customFormat="1" x14ac:dyDescent="0.25">
      <c r="B123"/>
      <c r="C123" s="301"/>
      <c r="D123" s="301"/>
      <c r="E123" s="357"/>
      <c r="F123" s="301"/>
      <c r="H123"/>
      <c r="I123"/>
      <c r="J123"/>
      <c r="K123"/>
      <c r="L123"/>
      <c r="M123"/>
      <c r="N123"/>
    </row>
    <row r="124" spans="2:14" s="268" customFormat="1" x14ac:dyDescent="0.25">
      <c r="B124"/>
      <c r="C124" s="301"/>
      <c r="D124" s="301"/>
      <c r="E124" s="357"/>
      <c r="F124" s="301"/>
      <c r="H124"/>
      <c r="I124"/>
      <c r="J124"/>
      <c r="K124"/>
      <c r="L124"/>
      <c r="M124"/>
      <c r="N124"/>
    </row>
    <row r="125" spans="2:14" s="268" customFormat="1" x14ac:dyDescent="0.25">
      <c r="B125"/>
      <c r="C125" s="301"/>
      <c r="D125" s="301"/>
      <c r="E125" s="357"/>
      <c r="F125" s="301"/>
      <c r="G125" s="391"/>
      <c r="H125"/>
      <c r="I125"/>
      <c r="J125"/>
      <c r="K125"/>
      <c r="L125"/>
      <c r="M125"/>
      <c r="N125"/>
    </row>
    <row r="126" spans="2:14" s="268" customFormat="1" x14ac:dyDescent="0.25">
      <c r="B126"/>
      <c r="C126" s="301"/>
      <c r="D126" s="301"/>
      <c r="E126" s="357"/>
      <c r="F126" s="301"/>
      <c r="H126"/>
      <c r="I126"/>
      <c r="J126"/>
      <c r="K126"/>
      <c r="L126"/>
      <c r="M126"/>
      <c r="N126"/>
    </row>
    <row r="127" spans="2:14" s="268" customFormat="1" x14ac:dyDescent="0.25">
      <c r="B127"/>
      <c r="C127" s="301"/>
      <c r="D127" s="301"/>
      <c r="E127" s="357"/>
      <c r="F127" s="301"/>
      <c r="H127"/>
      <c r="I127"/>
      <c r="J127"/>
      <c r="K127"/>
      <c r="L127"/>
      <c r="M127"/>
      <c r="N127"/>
    </row>
    <row r="128" spans="2:14" s="268" customFormat="1" x14ac:dyDescent="0.25">
      <c r="B128"/>
      <c r="C128" s="301"/>
      <c r="D128" s="301"/>
      <c r="E128" s="357"/>
      <c r="F128" s="301"/>
      <c r="H128"/>
      <c r="I128"/>
      <c r="J128"/>
      <c r="K128"/>
      <c r="L128"/>
      <c r="M128"/>
      <c r="N128"/>
    </row>
  </sheetData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300"/>
  <rowBreaks count="4" manualBreakCount="4">
    <brk id="31" min="1" max="7" man="1"/>
    <brk id="51" max="16383" man="1"/>
    <brk id="52" min="1" max="7" man="1"/>
    <brk id="67" min="1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96D0-E53F-4871-85D0-33C93D82F047}">
  <dimension ref="B2:O180"/>
  <sheetViews>
    <sheetView workbookViewId="0">
      <selection activeCell="E44" sqref="E44"/>
    </sheetView>
  </sheetViews>
  <sheetFormatPr defaultRowHeight="15" x14ac:dyDescent="0.25"/>
  <cols>
    <col min="1" max="1" width="2.140625" customWidth="1"/>
    <col min="2" max="2" width="48.5703125" bestFit="1" customWidth="1"/>
    <col min="3" max="3" width="10.42578125" customWidth="1"/>
    <col min="4" max="4" width="9.7109375" bestFit="1" customWidth="1"/>
    <col min="5" max="5" width="9.7109375" customWidth="1"/>
    <col min="6" max="6" width="14.7109375" customWidth="1"/>
    <col min="7" max="7" width="12.28515625" style="349" customWidth="1"/>
    <col min="8" max="8" width="10.42578125" bestFit="1" customWidth="1"/>
    <col min="9" max="11" width="10.5703125" customWidth="1"/>
    <col min="12" max="12" width="97.5703125" style="268" customWidth="1"/>
  </cols>
  <sheetData>
    <row r="2" spans="2:14" ht="18.75" x14ac:dyDescent="0.3">
      <c r="B2" s="394" t="s">
        <v>347</v>
      </c>
    </row>
    <row r="3" spans="2:14" ht="15.75" thickBot="1" x14ac:dyDescent="0.3"/>
    <row r="4" spans="2:14" ht="15.75" thickTop="1" x14ac:dyDescent="0.25">
      <c r="B4" s="395" t="s">
        <v>348</v>
      </c>
      <c r="C4" s="395" t="s">
        <v>349</v>
      </c>
      <c r="D4" s="395" t="s">
        <v>350</v>
      </c>
      <c r="E4" s="395" t="s">
        <v>351</v>
      </c>
      <c r="F4" s="395" t="s">
        <v>352</v>
      </c>
      <c r="G4" s="396" t="s">
        <v>351</v>
      </c>
      <c r="H4" s="395" t="s">
        <v>353</v>
      </c>
      <c r="I4" s="395" t="s">
        <v>354</v>
      </c>
      <c r="J4" s="395" t="s">
        <v>353</v>
      </c>
      <c r="K4" s="395" t="s">
        <v>355</v>
      </c>
      <c r="L4" s="397" t="s">
        <v>356</v>
      </c>
    </row>
    <row r="5" spans="2:14" x14ac:dyDescent="0.25">
      <c r="B5" s="398"/>
      <c r="C5" s="398" t="s">
        <v>357</v>
      </c>
      <c r="D5" s="398" t="s">
        <v>357</v>
      </c>
      <c r="E5" s="398" t="s">
        <v>358</v>
      </c>
      <c r="F5" s="398" t="s">
        <v>359</v>
      </c>
      <c r="G5" s="399" t="s">
        <v>360</v>
      </c>
      <c r="H5" s="398"/>
      <c r="I5" s="398" t="s">
        <v>361</v>
      </c>
      <c r="J5" s="398"/>
      <c r="K5" s="398"/>
      <c r="L5" s="400"/>
    </row>
    <row r="6" spans="2:14" ht="15.75" thickBot="1" x14ac:dyDescent="0.3">
      <c r="B6" s="401"/>
      <c r="C6" s="401"/>
      <c r="D6" s="401"/>
      <c r="E6" s="401"/>
      <c r="F6" s="401"/>
      <c r="G6" s="402" t="s">
        <v>362</v>
      </c>
      <c r="H6" s="401"/>
      <c r="I6" s="401" t="s">
        <v>358</v>
      </c>
      <c r="J6" s="401"/>
      <c r="K6" s="401"/>
      <c r="L6" s="403"/>
    </row>
    <row r="7" spans="2:14" ht="15.75" thickTop="1" x14ac:dyDescent="0.25">
      <c r="B7" s="404" t="s">
        <v>13</v>
      </c>
      <c r="C7" s="405">
        <v>42265</v>
      </c>
      <c r="D7" s="405">
        <v>45405</v>
      </c>
      <c r="E7" s="405">
        <v>45560</v>
      </c>
      <c r="F7" s="405">
        <v>45560</v>
      </c>
      <c r="G7" s="405">
        <v>45560</v>
      </c>
      <c r="H7" s="405">
        <f>+G7-F7</f>
        <v>0</v>
      </c>
      <c r="I7" s="405">
        <v>45560</v>
      </c>
      <c r="J7" s="406">
        <f>+I7-G7</f>
        <v>0</v>
      </c>
      <c r="K7" s="407">
        <f>+J7/I7</f>
        <v>0</v>
      </c>
      <c r="L7" s="408"/>
    </row>
    <row r="8" spans="2:14" x14ac:dyDescent="0.25">
      <c r="B8" s="409" t="s">
        <v>363</v>
      </c>
      <c r="C8" s="406">
        <v>4728</v>
      </c>
      <c r="D8" s="406">
        <v>2364</v>
      </c>
      <c r="E8" s="406">
        <v>2500</v>
      </c>
      <c r="F8" s="406">
        <v>2364</v>
      </c>
      <c r="G8" s="406">
        <v>2364</v>
      </c>
      <c r="H8" s="406">
        <f t="shared" ref="H8:H12" si="0">+G8-F8</f>
        <v>0</v>
      </c>
      <c r="I8" s="406">
        <v>2364</v>
      </c>
      <c r="J8" s="406">
        <f t="shared" ref="J8:J12" si="1">+I8-G8</f>
        <v>0</v>
      </c>
      <c r="K8" s="407">
        <f t="shared" ref="K8:K9" si="2">+J8/I8</f>
        <v>0</v>
      </c>
      <c r="L8" s="410" t="s">
        <v>364</v>
      </c>
    </row>
    <row r="9" spans="2:14" ht="30" x14ac:dyDescent="0.25">
      <c r="B9" s="411" t="s">
        <v>231</v>
      </c>
      <c r="C9" s="412"/>
      <c r="D9" s="412">
        <v>0</v>
      </c>
      <c r="E9" s="412">
        <v>1350</v>
      </c>
      <c r="F9" s="412">
        <v>1322.5</v>
      </c>
      <c r="G9" s="412">
        <v>1322.5</v>
      </c>
      <c r="H9" s="412">
        <f t="shared" si="0"/>
        <v>0</v>
      </c>
      <c r="I9" s="412">
        <v>1322.5</v>
      </c>
      <c r="J9" s="406">
        <f t="shared" si="1"/>
        <v>0</v>
      </c>
      <c r="K9" s="407">
        <f t="shared" si="2"/>
        <v>0</v>
      </c>
      <c r="L9" s="413" t="s">
        <v>365</v>
      </c>
    </row>
    <row r="10" spans="2:14" x14ac:dyDescent="0.25">
      <c r="B10" s="409" t="s">
        <v>35</v>
      </c>
      <c r="C10" s="406">
        <v>3817.73</v>
      </c>
      <c r="D10" s="406">
        <v>0</v>
      </c>
      <c r="E10" s="406">
        <v>0</v>
      </c>
      <c r="F10" s="406">
        <v>4017</v>
      </c>
      <c r="G10" s="414">
        <v>5455</v>
      </c>
      <c r="H10" s="406">
        <f t="shared" si="0"/>
        <v>1438</v>
      </c>
      <c r="I10" s="406">
        <v>0</v>
      </c>
      <c r="J10" s="406">
        <f t="shared" si="1"/>
        <v>-5455</v>
      </c>
      <c r="K10" s="407"/>
      <c r="L10" s="410"/>
    </row>
    <row r="11" spans="2:14" x14ac:dyDescent="0.25">
      <c r="B11" s="409" t="s">
        <v>366</v>
      </c>
      <c r="C11" s="406">
        <v>0</v>
      </c>
      <c r="D11" s="406">
        <v>0</v>
      </c>
      <c r="E11" s="406">
        <v>0</v>
      </c>
      <c r="F11" s="406">
        <v>162</v>
      </c>
      <c r="G11" s="406">
        <v>243</v>
      </c>
      <c r="H11" s="406">
        <f t="shared" si="0"/>
        <v>81</v>
      </c>
      <c r="I11" s="406">
        <v>0</v>
      </c>
      <c r="J11" s="406">
        <f t="shared" si="1"/>
        <v>-243</v>
      </c>
      <c r="K11" s="407"/>
      <c r="L11" s="410"/>
    </row>
    <row r="12" spans="2:14" ht="15.75" thickBot="1" x14ac:dyDescent="0.3">
      <c r="B12" s="409" t="s">
        <v>314</v>
      </c>
      <c r="C12" s="415">
        <f>5677+600</f>
        <v>6277</v>
      </c>
      <c r="D12" s="406">
        <v>0</v>
      </c>
      <c r="E12" s="406">
        <v>0</v>
      </c>
      <c r="F12" s="406">
        <v>499.5</v>
      </c>
      <c r="G12" s="406">
        <v>662</v>
      </c>
      <c r="H12" s="406">
        <f t="shared" si="0"/>
        <v>162.5</v>
      </c>
      <c r="I12" s="406">
        <f>3*5*18.1</f>
        <v>271.5</v>
      </c>
      <c r="J12" s="406">
        <f t="shared" si="1"/>
        <v>-390.5</v>
      </c>
      <c r="K12" s="407"/>
      <c r="L12" s="410"/>
    </row>
    <row r="13" spans="2:14" ht="16.5" thickTop="1" thickBot="1" x14ac:dyDescent="0.3">
      <c r="B13" s="416" t="s">
        <v>233</v>
      </c>
      <c r="C13" s="417">
        <f t="shared" ref="C13:J13" si="3">SUM(C7:C12)</f>
        <v>57087.73</v>
      </c>
      <c r="D13" s="417">
        <f t="shared" si="3"/>
        <v>47769</v>
      </c>
      <c r="E13" s="417">
        <f t="shared" si="3"/>
        <v>49410</v>
      </c>
      <c r="F13" s="417">
        <f t="shared" si="3"/>
        <v>53925</v>
      </c>
      <c r="G13" s="417">
        <f t="shared" si="3"/>
        <v>55606.5</v>
      </c>
      <c r="H13" s="417">
        <f t="shared" si="3"/>
        <v>1681.5</v>
      </c>
      <c r="I13" s="417">
        <f t="shared" si="3"/>
        <v>49518</v>
      </c>
      <c r="J13" s="417">
        <f t="shared" si="3"/>
        <v>-6088.5</v>
      </c>
      <c r="K13" s="418">
        <f>+J13/I13</f>
        <v>-0.12295528898582334</v>
      </c>
      <c r="L13" s="419"/>
      <c r="N13" s="420"/>
    </row>
    <row r="14" spans="2:14" ht="16.5" thickTop="1" thickBot="1" x14ac:dyDescent="0.3">
      <c r="B14" s="416" t="s">
        <v>367</v>
      </c>
      <c r="C14" s="417"/>
      <c r="D14" s="417"/>
      <c r="E14" s="417">
        <v>1700</v>
      </c>
      <c r="F14" s="417">
        <v>0</v>
      </c>
      <c r="G14" s="417"/>
      <c r="H14" s="417"/>
      <c r="I14" s="417">
        <f>-I38</f>
        <v>2436.4000000000015</v>
      </c>
      <c r="J14" s="417"/>
      <c r="K14" s="417"/>
      <c r="L14" s="419"/>
    </row>
    <row r="15" spans="2:14" ht="16.5" thickTop="1" thickBot="1" x14ac:dyDescent="0.3">
      <c r="B15" s="416" t="s">
        <v>368</v>
      </c>
      <c r="C15" s="417">
        <f t="shared" ref="C15:D15" si="4">+C13+C14</f>
        <v>57087.73</v>
      </c>
      <c r="D15" s="417">
        <f t="shared" si="4"/>
        <v>47769</v>
      </c>
      <c r="E15" s="417">
        <f>+E13+E14</f>
        <v>51110</v>
      </c>
      <c r="F15" s="417">
        <f>+F13+F14</f>
        <v>53925</v>
      </c>
      <c r="G15" s="417">
        <f t="shared" ref="G15:H15" si="5">+G13+G14</f>
        <v>55606.5</v>
      </c>
      <c r="H15" s="417">
        <f t="shared" si="5"/>
        <v>1681.5</v>
      </c>
      <c r="I15" s="417">
        <f>+I13+I14</f>
        <v>51954.400000000001</v>
      </c>
      <c r="J15" s="417">
        <f>+J13+J14</f>
        <v>-6088.5</v>
      </c>
      <c r="K15" s="418">
        <f>+J15/I15</f>
        <v>-0.11718930446699413</v>
      </c>
      <c r="L15" s="419"/>
    </row>
    <row r="16" spans="2:14" ht="16.5" thickTop="1" thickBot="1" x14ac:dyDescent="0.3"/>
    <row r="17" spans="2:12" ht="15.75" thickTop="1" x14ac:dyDescent="0.25">
      <c r="B17" s="395" t="s">
        <v>369</v>
      </c>
      <c r="C17" s="395" t="s">
        <v>349</v>
      </c>
      <c r="D17" s="395" t="s">
        <v>350</v>
      </c>
      <c r="E17" s="395" t="s">
        <v>351</v>
      </c>
      <c r="F17" s="395" t="s">
        <v>352</v>
      </c>
      <c r="G17" s="396" t="s">
        <v>351</v>
      </c>
      <c r="H17" s="395" t="s">
        <v>353</v>
      </c>
      <c r="I17" s="395" t="s">
        <v>354</v>
      </c>
      <c r="J17" s="395" t="s">
        <v>353</v>
      </c>
      <c r="K17" s="395" t="s">
        <v>355</v>
      </c>
      <c r="L17" s="397" t="s">
        <v>356</v>
      </c>
    </row>
    <row r="18" spans="2:12" x14ac:dyDescent="0.25">
      <c r="B18" s="398" t="s">
        <v>2</v>
      </c>
      <c r="C18" s="398" t="s">
        <v>357</v>
      </c>
      <c r="D18" s="398" t="s">
        <v>357</v>
      </c>
      <c r="E18" s="398" t="s">
        <v>358</v>
      </c>
      <c r="F18" s="398" t="s">
        <v>359</v>
      </c>
      <c r="G18" s="399" t="s">
        <v>360</v>
      </c>
      <c r="H18" s="398"/>
      <c r="I18" s="398" t="s">
        <v>361</v>
      </c>
      <c r="J18" s="398"/>
      <c r="K18" s="398"/>
      <c r="L18" s="400"/>
    </row>
    <row r="19" spans="2:12" ht="15.75" thickBot="1" x14ac:dyDescent="0.3">
      <c r="B19" s="421"/>
      <c r="C19" s="401"/>
      <c r="D19" s="401"/>
      <c r="E19" s="401"/>
      <c r="F19" s="401"/>
      <c r="G19" s="402" t="s">
        <v>362</v>
      </c>
      <c r="H19" s="401"/>
      <c r="I19" s="401" t="s">
        <v>358</v>
      </c>
      <c r="J19" s="401"/>
      <c r="K19" s="401"/>
      <c r="L19" s="403"/>
    </row>
    <row r="20" spans="2:12" ht="30.75" thickTop="1" x14ac:dyDescent="0.25">
      <c r="B20" s="409" t="s">
        <v>370</v>
      </c>
      <c r="C20" s="406">
        <v>17582.53</v>
      </c>
      <c r="D20" s="406">
        <v>15900</v>
      </c>
      <c r="E20" s="406">
        <v>17335</v>
      </c>
      <c r="F20" s="406">
        <v>12757</v>
      </c>
      <c r="G20" s="406">
        <v>18752</v>
      </c>
      <c r="H20" s="406">
        <f>+G20-F20</f>
        <v>5995</v>
      </c>
      <c r="I20" s="406">
        <v>19500</v>
      </c>
      <c r="J20" s="406">
        <f>+I20-G20</f>
        <v>748</v>
      </c>
      <c r="K20" s="407">
        <f>+J20/I20</f>
        <v>3.8358974358974361E-2</v>
      </c>
      <c r="L20" s="410" t="s">
        <v>371</v>
      </c>
    </row>
    <row r="21" spans="2:12" x14ac:dyDescent="0.25">
      <c r="B21" s="409" t="s">
        <v>372</v>
      </c>
      <c r="C21" s="406">
        <f>1433.32+6108+99.64</f>
        <v>7640.96</v>
      </c>
      <c r="D21" s="406">
        <v>5354.8</v>
      </c>
      <c r="E21" s="406">
        <v>7550</v>
      </c>
      <c r="F21" s="406">
        <v>5068</v>
      </c>
      <c r="G21" s="406">
        <v>5381</v>
      </c>
      <c r="H21" s="406">
        <f t="shared" ref="H21:H35" si="6">+G21-F21</f>
        <v>313</v>
      </c>
      <c r="I21" s="406">
        <v>5500</v>
      </c>
      <c r="J21" s="406">
        <f t="shared" ref="J21:J35" si="7">+I21-G21</f>
        <v>119</v>
      </c>
      <c r="K21" s="407">
        <f t="shared" ref="K21:K34" si="8">+J21/I21</f>
        <v>2.1636363636363638E-2</v>
      </c>
      <c r="L21" s="410"/>
    </row>
    <row r="22" spans="2:12" ht="30" x14ac:dyDescent="0.25">
      <c r="B22" s="409" t="s">
        <v>256</v>
      </c>
      <c r="C22" s="406">
        <v>14381.71</v>
      </c>
      <c r="D22" s="406">
        <v>13553</v>
      </c>
      <c r="E22" s="406">
        <v>14775</v>
      </c>
      <c r="F22" s="406">
        <v>13653</v>
      </c>
      <c r="G22" s="406">
        <v>14424</v>
      </c>
      <c r="H22" s="406">
        <f t="shared" si="6"/>
        <v>771</v>
      </c>
      <c r="I22" s="406">
        <f>10978+1475+2400</f>
        <v>14853</v>
      </c>
      <c r="J22" s="406">
        <f t="shared" si="7"/>
        <v>429</v>
      </c>
      <c r="K22" s="407">
        <f t="shared" si="8"/>
        <v>2.8883053928499294E-2</v>
      </c>
      <c r="L22" s="410" t="s">
        <v>373</v>
      </c>
    </row>
    <row r="23" spans="2:12" ht="30" x14ac:dyDescent="0.25">
      <c r="B23" s="409" t="s">
        <v>267</v>
      </c>
      <c r="C23" s="406">
        <v>601</v>
      </c>
      <c r="D23" s="406">
        <v>2232</v>
      </c>
      <c r="E23" s="406">
        <v>860</v>
      </c>
      <c r="F23" s="406">
        <v>237</v>
      </c>
      <c r="G23" s="406">
        <v>912</v>
      </c>
      <c r="H23" s="406">
        <f t="shared" si="6"/>
        <v>675</v>
      </c>
      <c r="I23" s="406">
        <v>1500</v>
      </c>
      <c r="J23" s="406">
        <f t="shared" si="7"/>
        <v>588</v>
      </c>
      <c r="K23" s="407">
        <f t="shared" si="8"/>
        <v>0.39200000000000002</v>
      </c>
      <c r="L23" s="410" t="s">
        <v>374</v>
      </c>
    </row>
    <row r="24" spans="2:12" x14ac:dyDescent="0.25">
      <c r="B24" s="409" t="s">
        <v>90</v>
      </c>
      <c r="C24" s="406">
        <v>72</v>
      </c>
      <c r="D24" s="406">
        <v>72</v>
      </c>
      <c r="E24" s="406">
        <v>80</v>
      </c>
      <c r="F24" s="406">
        <v>54</v>
      </c>
      <c r="G24" s="406">
        <v>72</v>
      </c>
      <c r="H24" s="406">
        <f t="shared" si="6"/>
        <v>18</v>
      </c>
      <c r="I24" s="406">
        <v>80</v>
      </c>
      <c r="J24" s="406">
        <f t="shared" si="7"/>
        <v>8</v>
      </c>
      <c r="K24" s="407">
        <f t="shared" si="8"/>
        <v>0.1</v>
      </c>
      <c r="L24" s="410"/>
    </row>
    <row r="25" spans="2:12" x14ac:dyDescent="0.25">
      <c r="B25" s="409" t="s">
        <v>375</v>
      </c>
      <c r="C25" s="406">
        <v>470</v>
      </c>
      <c r="D25" s="406">
        <v>500</v>
      </c>
      <c r="E25" s="406">
        <v>700</v>
      </c>
      <c r="F25" s="406">
        <v>620</v>
      </c>
      <c r="G25" s="406">
        <v>620</v>
      </c>
      <c r="H25" s="406">
        <f t="shared" si="6"/>
        <v>0</v>
      </c>
      <c r="I25" s="406">
        <v>650</v>
      </c>
      <c r="J25" s="406">
        <f t="shared" si="7"/>
        <v>30</v>
      </c>
      <c r="K25" s="407">
        <f t="shared" si="8"/>
        <v>4.6153846153846156E-2</v>
      </c>
      <c r="L25" s="410"/>
    </row>
    <row r="26" spans="2:12" x14ac:dyDescent="0.25">
      <c r="B26" s="409" t="s">
        <v>376</v>
      </c>
      <c r="C26" s="406">
        <v>1473.22</v>
      </c>
      <c r="D26" s="406">
        <v>1150</v>
      </c>
      <c r="E26" s="406">
        <v>1500</v>
      </c>
      <c r="F26" s="406">
        <v>604</v>
      </c>
      <c r="G26" s="406">
        <v>604</v>
      </c>
      <c r="H26" s="406">
        <f t="shared" si="6"/>
        <v>0</v>
      </c>
      <c r="I26" s="406">
        <v>650</v>
      </c>
      <c r="J26" s="406">
        <f t="shared" si="7"/>
        <v>46</v>
      </c>
      <c r="K26" s="407">
        <f t="shared" si="8"/>
        <v>7.0769230769230765E-2</v>
      </c>
      <c r="L26" s="410"/>
    </row>
    <row r="27" spans="2:12" x14ac:dyDescent="0.25">
      <c r="B27" s="409" t="s">
        <v>377</v>
      </c>
      <c r="C27" s="406"/>
      <c r="D27" s="406">
        <v>955</v>
      </c>
      <c r="E27" s="406">
        <v>1145</v>
      </c>
      <c r="F27" s="406">
        <v>1000</v>
      </c>
      <c r="G27" s="406">
        <v>1000</v>
      </c>
      <c r="H27" s="406">
        <f t="shared" si="6"/>
        <v>0</v>
      </c>
      <c r="I27" s="406">
        <v>1100</v>
      </c>
      <c r="J27" s="406">
        <f t="shared" si="7"/>
        <v>100</v>
      </c>
      <c r="K27" s="407">
        <f t="shared" si="8"/>
        <v>9.0909090909090912E-2</v>
      </c>
      <c r="L27" s="410"/>
    </row>
    <row r="28" spans="2:12" x14ac:dyDescent="0.25">
      <c r="B28" s="409" t="s">
        <v>26</v>
      </c>
      <c r="C28" s="406">
        <v>240.99</v>
      </c>
      <c r="D28" s="406">
        <v>550</v>
      </c>
      <c r="E28" s="406">
        <v>420</v>
      </c>
      <c r="F28" s="406">
        <v>265</v>
      </c>
      <c r="G28" s="406">
        <v>282</v>
      </c>
      <c r="H28" s="406">
        <f t="shared" si="6"/>
        <v>17</v>
      </c>
      <c r="I28" s="406">
        <v>298</v>
      </c>
      <c r="J28" s="406">
        <f t="shared" si="7"/>
        <v>16</v>
      </c>
      <c r="K28" s="407">
        <f t="shared" si="8"/>
        <v>5.3691275167785234E-2</v>
      </c>
      <c r="L28" s="410" t="s">
        <v>378</v>
      </c>
    </row>
    <row r="29" spans="2:12" x14ac:dyDescent="0.25">
      <c r="B29" s="409" t="s">
        <v>379</v>
      </c>
      <c r="C29" s="406"/>
      <c r="D29" s="406">
        <v>1355</v>
      </c>
      <c r="E29" s="406">
        <v>1445</v>
      </c>
      <c r="F29" s="406">
        <v>2740</v>
      </c>
      <c r="G29" s="406">
        <v>2740</v>
      </c>
      <c r="H29" s="406">
        <f t="shared" si="6"/>
        <v>0</v>
      </c>
      <c r="I29" s="406">
        <f>1207+580+500</f>
        <v>2287</v>
      </c>
      <c r="J29" s="406">
        <f t="shared" si="7"/>
        <v>-453</v>
      </c>
      <c r="K29" s="407">
        <f t="shared" si="8"/>
        <v>-0.19807608220376038</v>
      </c>
      <c r="L29" s="410" t="s">
        <v>380</v>
      </c>
    </row>
    <row r="30" spans="2:12" x14ac:dyDescent="0.25">
      <c r="B30" s="409" t="s">
        <v>28</v>
      </c>
      <c r="C30" s="406"/>
      <c r="D30" s="406">
        <v>3000</v>
      </c>
      <c r="E30" s="406">
        <v>3300</v>
      </c>
      <c r="F30" s="406">
        <v>3000</v>
      </c>
      <c r="G30" s="406">
        <v>3000</v>
      </c>
      <c r="H30" s="406">
        <f t="shared" si="6"/>
        <v>0</v>
      </c>
      <c r="I30" s="406">
        <f>3000*1.05</f>
        <v>3150</v>
      </c>
      <c r="J30" s="406">
        <f t="shared" si="7"/>
        <v>150</v>
      </c>
      <c r="K30" s="407">
        <f t="shared" si="8"/>
        <v>4.7619047619047616E-2</v>
      </c>
      <c r="L30" s="410"/>
    </row>
    <row r="31" spans="2:12" x14ac:dyDescent="0.25">
      <c r="B31" s="409" t="s">
        <v>381</v>
      </c>
      <c r="C31" s="406"/>
      <c r="D31" s="406">
        <v>1000</v>
      </c>
      <c r="E31" s="406">
        <v>0</v>
      </c>
      <c r="F31" s="406">
        <v>0</v>
      </c>
      <c r="G31" s="406">
        <v>0</v>
      </c>
      <c r="H31" s="406">
        <f t="shared" si="6"/>
        <v>0</v>
      </c>
      <c r="I31" s="406">
        <v>0</v>
      </c>
      <c r="J31" s="406">
        <f t="shared" si="7"/>
        <v>0</v>
      </c>
      <c r="K31" s="407"/>
      <c r="L31" s="410"/>
    </row>
    <row r="32" spans="2:12" x14ac:dyDescent="0.25">
      <c r="B32" s="409" t="s">
        <v>382</v>
      </c>
      <c r="C32" s="406"/>
      <c r="D32" s="406">
        <v>1750</v>
      </c>
      <c r="E32" s="406">
        <v>700</v>
      </c>
      <c r="F32" s="406">
        <f>45+39.22</f>
        <v>84.22</v>
      </c>
      <c r="G32" s="406">
        <f>200+250+55</f>
        <v>505</v>
      </c>
      <c r="H32" s="406">
        <f t="shared" si="6"/>
        <v>420.78</v>
      </c>
      <c r="I32" s="406">
        <v>1000</v>
      </c>
      <c r="J32" s="406">
        <f t="shared" si="7"/>
        <v>495</v>
      </c>
      <c r="K32" s="407">
        <f t="shared" si="8"/>
        <v>0.495</v>
      </c>
      <c r="L32" s="410" t="s">
        <v>383</v>
      </c>
    </row>
    <row r="33" spans="2:12" ht="30" x14ac:dyDescent="0.25">
      <c r="B33" s="409" t="s">
        <v>302</v>
      </c>
      <c r="C33" s="406"/>
      <c r="D33" s="406">
        <v>216.5</v>
      </c>
      <c r="E33" s="406">
        <v>1000</v>
      </c>
      <c r="F33" s="406">
        <v>0</v>
      </c>
      <c r="G33" s="406">
        <v>0</v>
      </c>
      <c r="H33" s="406">
        <f t="shared" si="6"/>
        <v>0</v>
      </c>
      <c r="I33" s="406">
        <v>1000</v>
      </c>
      <c r="J33" s="406">
        <f t="shared" si="7"/>
        <v>1000</v>
      </c>
      <c r="K33" s="407"/>
      <c r="L33" s="410" t="s">
        <v>384</v>
      </c>
    </row>
    <row r="34" spans="2:12" x14ac:dyDescent="0.25">
      <c r="B34" s="409" t="s">
        <v>15</v>
      </c>
      <c r="C34" s="406">
        <v>3245.24</v>
      </c>
      <c r="D34" s="406">
        <v>181</v>
      </c>
      <c r="E34" s="406">
        <v>300</v>
      </c>
      <c r="F34" s="406">
        <v>276</v>
      </c>
      <c r="G34" s="406">
        <v>368</v>
      </c>
      <c r="H34" s="406">
        <f t="shared" si="6"/>
        <v>92</v>
      </c>
      <c r="I34" s="406">
        <f>368*1.05</f>
        <v>386.40000000000003</v>
      </c>
      <c r="J34" s="406">
        <f t="shared" si="7"/>
        <v>18.400000000000034</v>
      </c>
      <c r="K34" s="407">
        <f t="shared" si="8"/>
        <v>4.76190476190477E-2</v>
      </c>
      <c r="L34" s="410" t="s">
        <v>385</v>
      </c>
    </row>
    <row r="35" spans="2:12" ht="15.75" thickBot="1" x14ac:dyDescent="0.3">
      <c r="B35" s="409" t="s">
        <v>35</v>
      </c>
      <c r="C35" s="406">
        <v>3547.89</v>
      </c>
      <c r="D35" s="406">
        <v>0</v>
      </c>
      <c r="E35" s="406">
        <v>0</v>
      </c>
      <c r="F35" s="406">
        <v>3544</v>
      </c>
      <c r="G35" s="406">
        <v>3544</v>
      </c>
      <c r="H35" s="406">
        <f t="shared" si="6"/>
        <v>0</v>
      </c>
      <c r="I35" s="406">
        <v>0</v>
      </c>
      <c r="J35" s="406">
        <f t="shared" si="7"/>
        <v>-3544</v>
      </c>
      <c r="K35" s="407"/>
      <c r="L35" s="410"/>
    </row>
    <row r="36" spans="2:12" ht="16.5" thickTop="1" thickBot="1" x14ac:dyDescent="0.3">
      <c r="B36" s="416" t="s">
        <v>308</v>
      </c>
      <c r="C36" s="422">
        <f>SUM(C20:C35)</f>
        <v>49255.539999999994</v>
      </c>
      <c r="D36" s="422">
        <f t="shared" ref="D36:H36" si="9">SUM(D20:D35)</f>
        <v>47769.3</v>
      </c>
      <c r="E36" s="422">
        <f>SUM(E20:E35)</f>
        <v>51110</v>
      </c>
      <c r="F36" s="422">
        <f t="shared" si="9"/>
        <v>43902.22</v>
      </c>
      <c r="G36" s="422">
        <f t="shared" si="9"/>
        <v>52204</v>
      </c>
      <c r="H36" s="422">
        <f t="shared" si="9"/>
        <v>8301.7800000000007</v>
      </c>
      <c r="I36" s="422">
        <f>SUM(I20:I35)</f>
        <v>51954.400000000001</v>
      </c>
      <c r="J36" s="422">
        <f>SUM(J20:J35)</f>
        <v>-249.59999999999991</v>
      </c>
      <c r="K36" s="423">
        <f>+J36/I36</f>
        <v>-4.8042129251805411E-3</v>
      </c>
      <c r="L36" s="419"/>
    </row>
    <row r="37" spans="2:12" ht="16.5" thickTop="1" thickBot="1" x14ac:dyDescent="0.3">
      <c r="C37" s="349"/>
      <c r="D37" s="349"/>
      <c r="E37" s="424"/>
      <c r="F37" s="349"/>
      <c r="H37" s="349"/>
      <c r="I37" s="424"/>
      <c r="J37" s="424"/>
      <c r="K37" s="424"/>
      <c r="L37" s="425"/>
    </row>
    <row r="38" spans="2:12" ht="16.5" thickTop="1" thickBot="1" x14ac:dyDescent="0.3">
      <c r="B38" s="416" t="s">
        <v>386</v>
      </c>
      <c r="C38" s="422">
        <f t="shared" ref="C38:H38" si="10">+C13-C36</f>
        <v>7832.1900000000096</v>
      </c>
      <c r="D38" s="422">
        <f t="shared" si="10"/>
        <v>-0.30000000000291038</v>
      </c>
      <c r="E38" s="422">
        <f t="shared" si="10"/>
        <v>-1700</v>
      </c>
      <c r="F38" s="422">
        <f t="shared" si="10"/>
        <v>10022.779999999999</v>
      </c>
      <c r="G38" s="422">
        <f t="shared" si="10"/>
        <v>3402.5</v>
      </c>
      <c r="H38" s="422">
        <f t="shared" si="10"/>
        <v>-6620.2800000000007</v>
      </c>
      <c r="I38" s="422">
        <f>+I13-I36</f>
        <v>-2436.4000000000015</v>
      </c>
      <c r="J38" s="422"/>
      <c r="K38" s="423"/>
      <c r="L38" s="419" t="s">
        <v>387</v>
      </c>
    </row>
    <row r="39" spans="2:12" ht="15.75" thickTop="1" x14ac:dyDescent="0.25"/>
    <row r="40" spans="2:12" ht="15.75" thickBot="1" x14ac:dyDescent="0.3"/>
    <row r="41" spans="2:12" ht="15.75" thickTop="1" x14ac:dyDescent="0.25">
      <c r="B41" s="395" t="s">
        <v>388</v>
      </c>
      <c r="C41" s="395" t="s">
        <v>349</v>
      </c>
      <c r="D41" s="395" t="s">
        <v>350</v>
      </c>
      <c r="E41" s="395" t="s">
        <v>351</v>
      </c>
      <c r="F41" s="395" t="s">
        <v>352</v>
      </c>
      <c r="G41" s="396" t="s">
        <v>351</v>
      </c>
      <c r="H41" s="395" t="s">
        <v>353</v>
      </c>
      <c r="I41" s="395" t="s">
        <v>354</v>
      </c>
      <c r="J41" s="395" t="s">
        <v>353</v>
      </c>
      <c r="K41" s="395" t="s">
        <v>355</v>
      </c>
      <c r="L41" s="397" t="s">
        <v>356</v>
      </c>
    </row>
    <row r="42" spans="2:12" ht="15.75" thickBot="1" x14ac:dyDescent="0.3">
      <c r="B42" s="398"/>
      <c r="C42" s="398" t="s">
        <v>357</v>
      </c>
      <c r="D42" s="398" t="s">
        <v>357</v>
      </c>
      <c r="E42" s="398" t="s">
        <v>358</v>
      </c>
      <c r="F42" s="398" t="s">
        <v>359</v>
      </c>
      <c r="G42" s="399" t="s">
        <v>360</v>
      </c>
      <c r="H42" s="398"/>
      <c r="I42" s="398" t="s">
        <v>361</v>
      </c>
      <c r="J42" s="398"/>
      <c r="K42" s="398"/>
      <c r="L42" s="400"/>
    </row>
    <row r="43" spans="2:12" ht="16.5" thickTop="1" thickBot="1" x14ac:dyDescent="0.3">
      <c r="B43" s="426" t="s">
        <v>389</v>
      </c>
      <c r="C43" s="427">
        <v>27096.58</v>
      </c>
      <c r="D43" s="427">
        <v>34929</v>
      </c>
      <c r="E43" s="427">
        <v>37371</v>
      </c>
      <c r="F43" s="427">
        <v>37371</v>
      </c>
      <c r="G43" s="422">
        <v>37371</v>
      </c>
      <c r="H43" s="416"/>
      <c r="I43" s="427">
        <f>+G46</f>
        <v>40773.5</v>
      </c>
      <c r="J43" s="427"/>
      <c r="K43" s="427"/>
      <c r="L43" s="428"/>
    </row>
    <row r="44" spans="2:12" ht="15.75" thickTop="1" x14ac:dyDescent="0.25">
      <c r="B44" s="429" t="s">
        <v>390</v>
      </c>
      <c r="C44" s="430">
        <f>+C13</f>
        <v>57087.73</v>
      </c>
      <c r="D44" s="430">
        <f>+D13</f>
        <v>47769</v>
      </c>
      <c r="E44" s="430">
        <f>+E13</f>
        <v>49410</v>
      </c>
      <c r="F44" s="431">
        <f>+F13</f>
        <v>53925</v>
      </c>
      <c r="G44" s="432">
        <f>+G13</f>
        <v>55606.5</v>
      </c>
      <c r="H44" s="433"/>
      <c r="I44" s="430">
        <f>+I13</f>
        <v>49518</v>
      </c>
      <c r="J44" s="430"/>
      <c r="K44" s="430"/>
      <c r="L44" s="434"/>
    </row>
    <row r="45" spans="2:12" ht="15.75" thickBot="1" x14ac:dyDescent="0.3">
      <c r="B45" s="429" t="s">
        <v>391</v>
      </c>
      <c r="C45" s="430">
        <f>-C36</f>
        <v>-49255.539999999994</v>
      </c>
      <c r="D45" s="430">
        <f>-D36</f>
        <v>-47769.3</v>
      </c>
      <c r="E45" s="430">
        <f>-E36</f>
        <v>-51110</v>
      </c>
      <c r="F45" s="431">
        <f>-F36</f>
        <v>-43902.22</v>
      </c>
      <c r="G45" s="432">
        <f>-G36</f>
        <v>-52204</v>
      </c>
      <c r="H45" s="433"/>
      <c r="I45" s="430">
        <f>-I36</f>
        <v>-51954.400000000001</v>
      </c>
      <c r="J45" s="430"/>
      <c r="K45" s="430"/>
      <c r="L45" s="434"/>
    </row>
    <row r="46" spans="2:12" ht="31.5" thickTop="1" thickBot="1" x14ac:dyDescent="0.3">
      <c r="B46" s="426" t="s">
        <v>392</v>
      </c>
      <c r="C46" s="427">
        <f>SUM(C43:C45)</f>
        <v>34928.770000000004</v>
      </c>
      <c r="D46" s="427">
        <f>SUM(D43:D45)</f>
        <v>34928.699999999997</v>
      </c>
      <c r="E46" s="427">
        <f>SUM(E43:E45)</f>
        <v>35671</v>
      </c>
      <c r="F46" s="435">
        <f>SUM(F43:F45)</f>
        <v>47393.78</v>
      </c>
      <c r="G46" s="422">
        <f>SUM(G43:G45)</f>
        <v>40773.5</v>
      </c>
      <c r="H46" s="416"/>
      <c r="I46" s="427">
        <f>SUM(I43:I45)</f>
        <v>38337.1</v>
      </c>
      <c r="J46" s="427"/>
      <c r="K46" s="427"/>
      <c r="L46" s="428" t="s">
        <v>393</v>
      </c>
    </row>
    <row r="47" spans="2:12" ht="16.5" thickTop="1" thickBot="1" x14ac:dyDescent="0.3">
      <c r="B47" s="292"/>
    </row>
    <row r="48" spans="2:12" ht="16.5" thickTop="1" thickBot="1" x14ac:dyDescent="0.3">
      <c r="B48" s="426" t="s">
        <v>394</v>
      </c>
      <c r="C48" s="436">
        <v>91.67</v>
      </c>
      <c r="D48" s="436">
        <v>97.33</v>
      </c>
      <c r="E48" s="436">
        <v>97.81</v>
      </c>
      <c r="F48" s="437"/>
      <c r="G48" s="417"/>
      <c r="H48" s="437"/>
      <c r="I48" s="438">
        <f>+I74</f>
        <v>97.663451232583071</v>
      </c>
      <c r="J48" s="436"/>
      <c r="K48" s="436"/>
      <c r="L48" s="439"/>
    </row>
    <row r="49" spans="2:15" ht="16.5" thickTop="1" thickBot="1" x14ac:dyDescent="0.3">
      <c r="B49" s="292"/>
    </row>
    <row r="50" spans="2:15" ht="15.75" thickTop="1" x14ac:dyDescent="0.25">
      <c r="B50" s="625" t="s">
        <v>395</v>
      </c>
      <c r="C50" s="395" t="s">
        <v>349</v>
      </c>
      <c r="D50" s="395" t="s">
        <v>350</v>
      </c>
      <c r="E50" s="395" t="s">
        <v>351</v>
      </c>
      <c r="F50" s="395" t="s">
        <v>352</v>
      </c>
      <c r="G50" s="396" t="s">
        <v>351</v>
      </c>
      <c r="H50" s="395" t="s">
        <v>353</v>
      </c>
      <c r="I50" s="395" t="s">
        <v>354</v>
      </c>
      <c r="J50" s="395" t="s">
        <v>353</v>
      </c>
      <c r="K50" s="395" t="s">
        <v>355</v>
      </c>
      <c r="L50" s="397" t="s">
        <v>356</v>
      </c>
    </row>
    <row r="51" spans="2:15" ht="15.75" thickBot="1" x14ac:dyDescent="0.3">
      <c r="B51" s="626"/>
      <c r="C51" s="398" t="s">
        <v>357</v>
      </c>
      <c r="D51" s="398" t="s">
        <v>357</v>
      </c>
      <c r="E51" s="398" t="s">
        <v>358</v>
      </c>
      <c r="F51" s="398" t="s">
        <v>359</v>
      </c>
      <c r="G51" s="399" t="s">
        <v>360</v>
      </c>
      <c r="H51" s="401"/>
      <c r="I51" s="398" t="s">
        <v>361</v>
      </c>
      <c r="J51" s="398"/>
      <c r="K51" s="398"/>
      <c r="L51" s="403"/>
    </row>
    <row r="52" spans="2:15" ht="15.75" thickTop="1" x14ac:dyDescent="0.25">
      <c r="B52" s="440" t="s">
        <v>396</v>
      </c>
      <c r="C52" s="441">
        <f>290+72</f>
        <v>362</v>
      </c>
      <c r="D52" s="441">
        <v>385</v>
      </c>
      <c r="E52" s="441">
        <v>420</v>
      </c>
      <c r="F52" s="441">
        <v>420</v>
      </c>
      <c r="G52" s="441">
        <v>510</v>
      </c>
      <c r="H52" s="442">
        <f t="shared" ref="H52:H63" si="11">+F52-G52</f>
        <v>-90</v>
      </c>
      <c r="I52" s="441">
        <v>485</v>
      </c>
      <c r="J52" s="441">
        <f>+I52-G52</f>
        <v>-25</v>
      </c>
      <c r="K52" s="443">
        <f>+J52/I52</f>
        <v>-5.1546391752577317E-2</v>
      </c>
      <c r="L52" s="444" t="s">
        <v>397</v>
      </c>
      <c r="M52" t="s">
        <v>398</v>
      </c>
    </row>
    <row r="53" spans="2:15" x14ac:dyDescent="0.25">
      <c r="B53" s="445" t="s">
        <v>399</v>
      </c>
      <c r="C53" s="446">
        <f>291.67+21.65</f>
        <v>313.32</v>
      </c>
      <c r="D53" s="446">
        <v>300</v>
      </c>
      <c r="E53" s="446">
        <v>350</v>
      </c>
      <c r="F53" s="446">
        <v>350</v>
      </c>
      <c r="G53" s="446">
        <v>546</v>
      </c>
      <c r="H53" s="446">
        <f t="shared" si="11"/>
        <v>-196</v>
      </c>
      <c r="I53" s="446">
        <v>1207</v>
      </c>
      <c r="J53" s="446">
        <f t="shared" ref="J53:J63" si="12">+I53-G53</f>
        <v>661</v>
      </c>
      <c r="K53" s="447">
        <f t="shared" ref="K53:K63" si="13">+J53/I53</f>
        <v>0.54763877381938686</v>
      </c>
      <c r="L53" s="448" t="s">
        <v>400</v>
      </c>
      <c r="M53" t="s">
        <v>401</v>
      </c>
    </row>
    <row r="54" spans="2:15" x14ac:dyDescent="0.25">
      <c r="B54" s="445" t="s">
        <v>155</v>
      </c>
      <c r="C54" s="446">
        <v>0</v>
      </c>
      <c r="D54" s="446">
        <v>3000</v>
      </c>
      <c r="E54" s="446">
        <v>3300</v>
      </c>
      <c r="F54" s="446">
        <v>3300</v>
      </c>
      <c r="G54" s="446">
        <v>3000</v>
      </c>
      <c r="H54" s="446">
        <f t="shared" si="11"/>
        <v>300</v>
      </c>
      <c r="I54" s="446">
        <v>3150</v>
      </c>
      <c r="J54" s="446">
        <f t="shared" si="12"/>
        <v>150</v>
      </c>
      <c r="K54" s="447">
        <f t="shared" si="13"/>
        <v>4.7619047619047616E-2</v>
      </c>
      <c r="L54" s="449" t="s">
        <v>402</v>
      </c>
      <c r="M54" t="s">
        <v>403</v>
      </c>
    </row>
    <row r="55" spans="2:15" x14ac:dyDescent="0.25">
      <c r="B55" s="445" t="s">
        <v>404</v>
      </c>
      <c r="C55" s="446">
        <v>64</v>
      </c>
      <c r="D55" s="446">
        <v>170</v>
      </c>
      <c r="E55" s="446">
        <v>175</v>
      </c>
      <c r="F55" s="446">
        <v>175</v>
      </c>
      <c r="G55" s="446">
        <f>60+35</f>
        <v>95</v>
      </c>
      <c r="H55" s="446">
        <f t="shared" si="11"/>
        <v>80</v>
      </c>
      <c r="I55" s="446">
        <f>60+35</f>
        <v>95</v>
      </c>
      <c r="J55" s="446">
        <f t="shared" si="12"/>
        <v>0</v>
      </c>
      <c r="K55" s="447">
        <f t="shared" si="13"/>
        <v>0</v>
      </c>
      <c r="L55" s="449" t="s">
        <v>405</v>
      </c>
      <c r="M55" t="s">
        <v>398</v>
      </c>
    </row>
    <row r="56" spans="2:15" x14ac:dyDescent="0.25">
      <c r="B56" s="445" t="s">
        <v>406</v>
      </c>
      <c r="C56" s="446"/>
      <c r="D56" s="446"/>
      <c r="E56" s="446"/>
      <c r="F56" s="446"/>
      <c r="G56" s="446"/>
      <c r="H56" s="446"/>
      <c r="I56" s="450">
        <v>500</v>
      </c>
      <c r="J56" s="446">
        <f t="shared" si="12"/>
        <v>500</v>
      </c>
      <c r="K56" s="447">
        <f t="shared" si="13"/>
        <v>1</v>
      </c>
      <c r="L56" s="449" t="s">
        <v>407</v>
      </c>
    </row>
    <row r="57" spans="2:15" x14ac:dyDescent="0.25">
      <c r="B57" s="445" t="s">
        <v>408</v>
      </c>
      <c r="C57" s="446">
        <f>612.5+612.5</f>
        <v>1225</v>
      </c>
      <c r="D57" s="446">
        <v>1350</v>
      </c>
      <c r="E57" s="446">
        <v>1440</v>
      </c>
      <c r="F57" s="446">
        <v>1440</v>
      </c>
      <c r="G57" s="446">
        <f>707*2</f>
        <v>1414</v>
      </c>
      <c r="H57" s="446">
        <f t="shared" si="11"/>
        <v>26</v>
      </c>
      <c r="I57" s="446">
        <v>1475</v>
      </c>
      <c r="J57" s="446">
        <f t="shared" si="12"/>
        <v>61</v>
      </c>
      <c r="K57" s="447">
        <f t="shared" si="13"/>
        <v>4.1355932203389831E-2</v>
      </c>
      <c r="L57" s="449" t="s">
        <v>409</v>
      </c>
      <c r="M57" t="s">
        <v>401</v>
      </c>
    </row>
    <row r="58" spans="2:15" x14ac:dyDescent="0.25">
      <c r="B58" s="445" t="s">
        <v>410</v>
      </c>
      <c r="C58" s="446">
        <v>0</v>
      </c>
      <c r="D58" s="446">
        <v>0</v>
      </c>
      <c r="E58" s="446">
        <v>0</v>
      </c>
      <c r="F58" s="446">
        <v>0</v>
      </c>
      <c r="G58" s="446">
        <v>50</v>
      </c>
      <c r="H58" s="446">
        <f t="shared" si="11"/>
        <v>-50</v>
      </c>
      <c r="I58" s="446">
        <v>0</v>
      </c>
      <c r="J58" s="446">
        <f t="shared" si="12"/>
        <v>-50</v>
      </c>
      <c r="K58" s="447"/>
      <c r="L58" s="449" t="s">
        <v>411</v>
      </c>
    </row>
    <row r="59" spans="2:15" x14ac:dyDescent="0.25">
      <c r="B59" s="451" t="s">
        <v>412</v>
      </c>
      <c r="C59" s="452">
        <v>0</v>
      </c>
      <c r="D59" s="452">
        <v>500</v>
      </c>
      <c r="E59" s="452">
        <v>0</v>
      </c>
      <c r="F59" s="452">
        <v>0</v>
      </c>
      <c r="G59" s="452">
        <v>16.62</v>
      </c>
      <c r="H59" s="446">
        <f t="shared" si="11"/>
        <v>-16.62</v>
      </c>
      <c r="I59" s="452">
        <v>0</v>
      </c>
      <c r="J59" s="446">
        <f t="shared" si="12"/>
        <v>-16.62</v>
      </c>
      <c r="K59" s="447"/>
      <c r="L59" s="453" t="s">
        <v>413</v>
      </c>
    </row>
    <row r="60" spans="2:15" x14ac:dyDescent="0.25">
      <c r="B60" s="451" t="s">
        <v>414</v>
      </c>
      <c r="C60" s="452">
        <v>0</v>
      </c>
      <c r="D60" s="452">
        <v>0</v>
      </c>
      <c r="E60" s="452">
        <v>500</v>
      </c>
      <c r="F60" s="452">
        <v>500</v>
      </c>
      <c r="G60" s="452">
        <f>1395+273.7</f>
        <v>1668.7</v>
      </c>
      <c r="H60" s="446">
        <f t="shared" si="11"/>
        <v>-1168.7</v>
      </c>
      <c r="I60" s="452">
        <v>0</v>
      </c>
      <c r="J60" s="446">
        <f t="shared" si="12"/>
        <v>-1668.7</v>
      </c>
      <c r="K60" s="447"/>
      <c r="L60" s="453" t="s">
        <v>415</v>
      </c>
    </row>
    <row r="61" spans="2:15" x14ac:dyDescent="0.25">
      <c r="B61" s="451" t="s">
        <v>416</v>
      </c>
      <c r="C61" s="452">
        <v>0</v>
      </c>
      <c r="D61" s="452">
        <v>0</v>
      </c>
      <c r="E61" s="452">
        <v>0</v>
      </c>
      <c r="F61" s="452">
        <v>0</v>
      </c>
      <c r="G61" s="452">
        <v>870</v>
      </c>
      <c r="H61" s="452">
        <f t="shared" si="11"/>
        <v>-870</v>
      </c>
      <c r="I61" s="452">
        <v>0</v>
      </c>
      <c r="J61" s="446">
        <f t="shared" si="12"/>
        <v>-870</v>
      </c>
      <c r="K61" s="447"/>
      <c r="L61" s="453" t="s">
        <v>417</v>
      </c>
    </row>
    <row r="62" spans="2:15" x14ac:dyDescent="0.25">
      <c r="B62" s="451" t="s">
        <v>418</v>
      </c>
      <c r="C62" s="452"/>
      <c r="D62" s="452"/>
      <c r="E62" s="452"/>
      <c r="F62" s="452"/>
      <c r="G62" s="452"/>
      <c r="H62" s="452"/>
      <c r="I62" s="454">
        <v>1768.19</v>
      </c>
      <c r="J62" s="452"/>
      <c r="K62" s="455"/>
      <c r="L62" s="453"/>
      <c r="M62" t="s">
        <v>419</v>
      </c>
      <c r="O62" t="s">
        <v>420</v>
      </c>
    </row>
    <row r="63" spans="2:15" ht="15.75" thickBot="1" x14ac:dyDescent="0.3">
      <c r="B63" s="456" t="s">
        <v>421</v>
      </c>
      <c r="C63" s="457">
        <v>0</v>
      </c>
      <c r="D63" s="457">
        <v>0</v>
      </c>
      <c r="E63" s="457">
        <v>0</v>
      </c>
      <c r="F63" s="457">
        <v>0</v>
      </c>
      <c r="G63" s="457">
        <v>0</v>
      </c>
      <c r="H63" s="452">
        <f t="shared" si="11"/>
        <v>0</v>
      </c>
      <c r="I63" s="458">
        <v>1000</v>
      </c>
      <c r="J63" s="457">
        <f t="shared" si="12"/>
        <v>1000</v>
      </c>
      <c r="K63" s="459">
        <f t="shared" si="13"/>
        <v>1</v>
      </c>
      <c r="L63" s="460"/>
    </row>
    <row r="64" spans="2:15" ht="16.5" thickTop="1" thickBot="1" x14ac:dyDescent="0.3">
      <c r="B64" s="461" t="s">
        <v>422</v>
      </c>
      <c r="C64" s="462">
        <f t="shared" ref="C64:J64" si="14">SUM(C52:C63)</f>
        <v>1964.32</v>
      </c>
      <c r="D64" s="462">
        <f t="shared" si="14"/>
        <v>5705</v>
      </c>
      <c r="E64" s="462">
        <f t="shared" si="14"/>
        <v>6185</v>
      </c>
      <c r="F64" s="462">
        <f t="shared" si="14"/>
        <v>6185</v>
      </c>
      <c r="G64" s="462">
        <f t="shared" si="14"/>
        <v>8170.32</v>
      </c>
      <c r="H64" s="462">
        <f t="shared" si="14"/>
        <v>-1985.3200000000002</v>
      </c>
      <c r="I64" s="462">
        <f t="shared" si="14"/>
        <v>9680.19</v>
      </c>
      <c r="J64" s="462">
        <f t="shared" si="14"/>
        <v>-258.31999999999994</v>
      </c>
      <c r="K64" s="463"/>
      <c r="L64" s="464"/>
    </row>
    <row r="65" spans="2:12" ht="15.75" thickTop="1" x14ac:dyDescent="0.25">
      <c r="B65" s="440" t="s">
        <v>423</v>
      </c>
      <c r="C65" s="441">
        <v>867</v>
      </c>
      <c r="D65" s="441">
        <v>856</v>
      </c>
      <c r="E65" s="441">
        <v>842</v>
      </c>
      <c r="F65" s="441">
        <v>842</v>
      </c>
      <c r="G65" s="441">
        <v>842</v>
      </c>
      <c r="H65" s="441"/>
      <c r="I65" s="441">
        <v>839</v>
      </c>
      <c r="J65" s="465"/>
      <c r="K65" s="465"/>
      <c r="L65" s="444"/>
    </row>
    <row r="66" spans="2:12" x14ac:dyDescent="0.25">
      <c r="B66" s="445" t="s">
        <v>424</v>
      </c>
      <c r="C66" s="270">
        <v>8.41</v>
      </c>
      <c r="D66" s="270">
        <v>8.82</v>
      </c>
      <c r="E66" s="270">
        <v>9.93</v>
      </c>
      <c r="F66" s="270">
        <v>9.93</v>
      </c>
      <c r="G66" s="446">
        <v>9.93</v>
      </c>
      <c r="H66" s="270"/>
      <c r="I66" s="270">
        <v>10.81</v>
      </c>
      <c r="J66" s="466"/>
      <c r="K66" s="466"/>
      <c r="L66" s="449" t="s">
        <v>425</v>
      </c>
    </row>
    <row r="67" spans="2:12" ht="15.75" thickBot="1" x14ac:dyDescent="0.3">
      <c r="B67" s="467" t="s">
        <v>426</v>
      </c>
      <c r="C67" s="468">
        <f>+C65*C66</f>
        <v>7291.47</v>
      </c>
      <c r="D67" s="468">
        <f t="shared" ref="D67:F67" si="15">+D65*D66</f>
        <v>7549.92</v>
      </c>
      <c r="E67" s="468">
        <f>+E65*E66</f>
        <v>8361.06</v>
      </c>
      <c r="F67" s="468">
        <f t="shared" si="15"/>
        <v>8361.06</v>
      </c>
      <c r="G67" s="468">
        <f>+G65*G66</f>
        <v>8361.06</v>
      </c>
      <c r="H67" s="468"/>
      <c r="I67" s="468">
        <f>+I65*I66</f>
        <v>9069.59</v>
      </c>
      <c r="J67" s="469"/>
      <c r="K67" s="469"/>
      <c r="L67" s="470"/>
    </row>
    <row r="68" spans="2:12" ht="15.75" thickTop="1" x14ac:dyDescent="0.25">
      <c r="B68" s="296"/>
      <c r="I68" s="420"/>
    </row>
    <row r="69" spans="2:12" x14ac:dyDescent="0.25">
      <c r="B69" s="296"/>
    </row>
    <row r="70" spans="2:12" x14ac:dyDescent="0.25">
      <c r="B70" s="296" t="s">
        <v>316</v>
      </c>
      <c r="C70" s="301" t="s">
        <v>427</v>
      </c>
      <c r="D70" s="301"/>
      <c r="E70" s="301"/>
      <c r="F70" s="301"/>
      <c r="G70" s="414"/>
      <c r="H70" s="301" t="s">
        <v>428</v>
      </c>
      <c r="I70" s="290">
        <f>+I7</f>
        <v>45560</v>
      </c>
      <c r="J70" s="290"/>
      <c r="K70" s="290"/>
    </row>
    <row r="71" spans="2:12" x14ac:dyDescent="0.25">
      <c r="C71" s="301"/>
      <c r="D71" s="301"/>
      <c r="E71" s="301"/>
      <c r="F71" s="301"/>
      <c r="G71" s="414"/>
      <c r="H71" s="301"/>
      <c r="I71" s="301"/>
      <c r="J71" s="301"/>
      <c r="K71" s="301"/>
    </row>
    <row r="72" spans="2:12" x14ac:dyDescent="0.25">
      <c r="B72" s="296" t="s">
        <v>317</v>
      </c>
      <c r="C72" s="301" t="s">
        <v>429</v>
      </c>
      <c r="D72" s="301"/>
      <c r="E72" s="301"/>
      <c r="F72" s="301"/>
      <c r="G72" s="414"/>
      <c r="H72" s="301"/>
      <c r="I72" s="301">
        <v>466.5</v>
      </c>
      <c r="J72" s="301"/>
      <c r="K72" s="301"/>
    </row>
    <row r="73" spans="2:12" x14ac:dyDescent="0.25">
      <c r="C73" s="301"/>
      <c r="D73" s="301"/>
      <c r="E73" s="301"/>
      <c r="F73" s="301"/>
      <c r="G73" s="414"/>
      <c r="H73" s="301"/>
      <c r="I73" s="301"/>
      <c r="J73" s="301"/>
      <c r="K73" s="301"/>
    </row>
    <row r="74" spans="2:12" x14ac:dyDescent="0.25">
      <c r="B74" s="296" t="s">
        <v>318</v>
      </c>
      <c r="C74" s="301" t="s">
        <v>430</v>
      </c>
      <c r="D74" s="301"/>
      <c r="E74" s="301"/>
      <c r="F74" s="301"/>
      <c r="G74" s="414"/>
      <c r="H74" s="303" t="s">
        <v>428</v>
      </c>
      <c r="I74" s="303">
        <f>+I70/I72</f>
        <v>97.663451232583071</v>
      </c>
      <c r="J74" s="303"/>
      <c r="K74" s="303"/>
    </row>
    <row r="75" spans="2:12" x14ac:dyDescent="0.25">
      <c r="C75" s="301" t="s">
        <v>431</v>
      </c>
      <c r="D75" s="301"/>
      <c r="E75" s="301"/>
      <c r="F75" s="301"/>
      <c r="G75" s="414"/>
      <c r="H75" s="301"/>
      <c r="I75" s="301"/>
      <c r="J75" s="301"/>
      <c r="K75" s="301"/>
    </row>
    <row r="76" spans="2:12" x14ac:dyDescent="0.25">
      <c r="B76" s="298"/>
    </row>
    <row r="79" spans="2:12" x14ac:dyDescent="0.25">
      <c r="C79" s="345" t="s">
        <v>354</v>
      </c>
      <c r="D79" s="345"/>
      <c r="E79" s="345"/>
      <c r="F79" s="268"/>
      <c r="G79"/>
      <c r="L79"/>
    </row>
    <row r="80" spans="2:12" x14ac:dyDescent="0.25">
      <c r="C80" s="345" t="s">
        <v>358</v>
      </c>
      <c r="D80" s="345"/>
      <c r="E80" s="345"/>
      <c r="F80" s="268"/>
      <c r="G80"/>
    </row>
    <row r="81" spans="2:12" x14ac:dyDescent="0.25">
      <c r="B81" t="s">
        <v>13</v>
      </c>
      <c r="C81" s="420">
        <f>+I7</f>
        <v>45560</v>
      </c>
      <c r="F81" s="268"/>
      <c r="G81"/>
      <c r="L81"/>
    </row>
    <row r="82" spans="2:12" x14ac:dyDescent="0.25">
      <c r="B82" t="s">
        <v>231</v>
      </c>
      <c r="C82" s="420">
        <f>+I9</f>
        <v>1322.5</v>
      </c>
      <c r="F82" s="268"/>
      <c r="G82"/>
      <c r="L82"/>
    </row>
    <row r="83" spans="2:12" x14ac:dyDescent="0.25">
      <c r="B83" t="s">
        <v>432</v>
      </c>
      <c r="C83" s="420">
        <f>+I8</f>
        <v>2364</v>
      </c>
      <c r="F83" s="268"/>
      <c r="G83"/>
      <c r="L83"/>
    </row>
    <row r="84" spans="2:12" x14ac:dyDescent="0.25">
      <c r="B84" t="s">
        <v>388</v>
      </c>
      <c r="C84" s="420">
        <f>+I14</f>
        <v>2436.4000000000015</v>
      </c>
      <c r="F84" s="268"/>
      <c r="G84"/>
      <c r="L84"/>
    </row>
    <row r="85" spans="2:12" x14ac:dyDescent="0.25">
      <c r="B85" t="s">
        <v>15</v>
      </c>
      <c r="C85" s="420">
        <f>+I12+I11+I10</f>
        <v>271.5</v>
      </c>
      <c r="F85" s="268"/>
      <c r="G85"/>
      <c r="L85"/>
    </row>
    <row r="86" spans="2:12" ht="15.75" thickBot="1" x14ac:dyDescent="0.3">
      <c r="C86" s="471">
        <f t="shared" ref="C86" si="16">SUM(C81:C85)</f>
        <v>51954.400000000001</v>
      </c>
      <c r="F86" s="268"/>
      <c r="G86"/>
      <c r="L86"/>
    </row>
    <row r="87" spans="2:12" ht="15.75" thickTop="1" x14ac:dyDescent="0.25">
      <c r="C87" s="420">
        <f>+C86-I15</f>
        <v>0</v>
      </c>
      <c r="F87" s="268"/>
      <c r="G87"/>
      <c r="L87"/>
    </row>
    <row r="88" spans="2:12" x14ac:dyDescent="0.25">
      <c r="C88" s="420"/>
      <c r="F88" s="268"/>
      <c r="G88"/>
      <c r="L88"/>
    </row>
    <row r="89" spans="2:12" x14ac:dyDescent="0.25">
      <c r="C89" s="420"/>
      <c r="F89" s="268"/>
      <c r="G89"/>
      <c r="L89"/>
    </row>
    <row r="90" spans="2:12" x14ac:dyDescent="0.25">
      <c r="C90" s="420"/>
      <c r="F90" s="268"/>
      <c r="G90"/>
      <c r="L90"/>
    </row>
    <row r="91" spans="2:12" x14ac:dyDescent="0.25">
      <c r="C91" s="420"/>
      <c r="F91" s="268"/>
      <c r="G91"/>
      <c r="L91"/>
    </row>
    <row r="92" spans="2:12" x14ac:dyDescent="0.25">
      <c r="C92" s="420"/>
      <c r="F92" s="268"/>
      <c r="G92"/>
      <c r="L92"/>
    </row>
    <row r="93" spans="2:12" x14ac:dyDescent="0.25">
      <c r="C93" s="420"/>
      <c r="F93" s="268"/>
      <c r="G93"/>
      <c r="L93"/>
    </row>
    <row r="94" spans="2:12" x14ac:dyDescent="0.25">
      <c r="C94" s="420"/>
      <c r="F94" s="268"/>
      <c r="G94"/>
      <c r="L94"/>
    </row>
    <row r="95" spans="2:12" x14ac:dyDescent="0.25">
      <c r="C95" s="345" t="s">
        <v>354</v>
      </c>
      <c r="F95" s="268"/>
      <c r="G95"/>
      <c r="L95"/>
    </row>
    <row r="96" spans="2:12" x14ac:dyDescent="0.25">
      <c r="C96" s="345" t="s">
        <v>358</v>
      </c>
      <c r="F96" s="268"/>
      <c r="G96"/>
      <c r="L96"/>
    </row>
    <row r="97" spans="2:12" x14ac:dyDescent="0.25">
      <c r="B97" t="s">
        <v>433</v>
      </c>
      <c r="C97" s="420">
        <f>+I20</f>
        <v>19500</v>
      </c>
      <c r="F97" s="268"/>
      <c r="G97"/>
      <c r="L97"/>
    </row>
    <row r="98" spans="2:12" x14ac:dyDescent="0.25">
      <c r="B98" t="s">
        <v>434</v>
      </c>
      <c r="C98" s="420">
        <f>+I21</f>
        <v>5500</v>
      </c>
      <c r="F98" s="268"/>
      <c r="G98"/>
      <c r="L98"/>
    </row>
    <row r="99" spans="2:12" x14ac:dyDescent="0.25">
      <c r="B99" t="s">
        <v>265</v>
      </c>
      <c r="C99" s="420">
        <f>+I22</f>
        <v>14853</v>
      </c>
      <c r="F99" s="268"/>
      <c r="G99"/>
      <c r="L99"/>
    </row>
    <row r="100" spans="2:12" x14ac:dyDescent="0.25">
      <c r="B100" t="s">
        <v>435</v>
      </c>
      <c r="C100" s="420">
        <f>+I26+I27</f>
        <v>1750</v>
      </c>
      <c r="F100" s="268"/>
      <c r="G100"/>
      <c r="L100"/>
    </row>
    <row r="101" spans="2:12" x14ac:dyDescent="0.25">
      <c r="B101" t="s">
        <v>15</v>
      </c>
      <c r="C101" s="420">
        <f>+I23+I24+I25+I28+I29+I30+I31+I32+I33+I34+I35</f>
        <v>10351.4</v>
      </c>
      <c r="F101" s="268"/>
      <c r="G101"/>
      <c r="L101"/>
    </row>
    <row r="102" spans="2:12" ht="15.75" thickBot="1" x14ac:dyDescent="0.3">
      <c r="B102" t="s">
        <v>436</v>
      </c>
      <c r="C102" s="471">
        <f>SUM(C97:C101)</f>
        <v>51954.400000000001</v>
      </c>
      <c r="F102" s="268"/>
      <c r="G102"/>
      <c r="L102"/>
    </row>
    <row r="103" spans="2:12" ht="15.75" thickTop="1" x14ac:dyDescent="0.25">
      <c r="C103" s="420">
        <f>+C102-I36</f>
        <v>0</v>
      </c>
      <c r="F103" s="268"/>
      <c r="G103"/>
      <c r="L103"/>
    </row>
    <row r="104" spans="2:12" x14ac:dyDescent="0.25">
      <c r="F104" s="268"/>
      <c r="G104"/>
      <c r="L104"/>
    </row>
    <row r="105" spans="2:12" x14ac:dyDescent="0.25">
      <c r="F105" s="268"/>
      <c r="G105"/>
      <c r="L105"/>
    </row>
    <row r="106" spans="2:12" x14ac:dyDescent="0.25">
      <c r="F106" s="268"/>
      <c r="G106"/>
      <c r="L106"/>
    </row>
    <row r="107" spans="2:12" x14ac:dyDescent="0.25">
      <c r="F107" s="268"/>
      <c r="G107"/>
      <c r="L107"/>
    </row>
    <row r="108" spans="2:12" x14ac:dyDescent="0.25">
      <c r="F108" s="268"/>
      <c r="G108"/>
      <c r="L108"/>
    </row>
    <row r="109" spans="2:12" x14ac:dyDescent="0.25">
      <c r="F109" s="268"/>
      <c r="G109"/>
      <c r="L109"/>
    </row>
    <row r="110" spans="2:12" x14ac:dyDescent="0.25">
      <c r="F110" s="268"/>
      <c r="G110"/>
      <c r="L110"/>
    </row>
    <row r="111" spans="2:12" x14ac:dyDescent="0.25">
      <c r="F111" s="268"/>
      <c r="G111"/>
      <c r="L111"/>
    </row>
    <row r="112" spans="2:12" x14ac:dyDescent="0.25">
      <c r="F112" s="268"/>
      <c r="G112"/>
      <c r="L112"/>
    </row>
    <row r="113" spans="6:12" x14ac:dyDescent="0.25">
      <c r="F113" s="268"/>
      <c r="G113"/>
      <c r="L113"/>
    </row>
    <row r="114" spans="6:12" x14ac:dyDescent="0.25">
      <c r="F114" s="268"/>
      <c r="G114"/>
      <c r="L114"/>
    </row>
    <row r="115" spans="6:12" x14ac:dyDescent="0.25">
      <c r="F115" s="268"/>
      <c r="G115"/>
      <c r="L115"/>
    </row>
    <row r="116" spans="6:12" x14ac:dyDescent="0.25">
      <c r="F116" s="268"/>
      <c r="G116"/>
      <c r="L116"/>
    </row>
    <row r="117" spans="6:12" x14ac:dyDescent="0.25">
      <c r="F117" s="268"/>
      <c r="G117"/>
      <c r="L117"/>
    </row>
    <row r="118" spans="6:12" x14ac:dyDescent="0.25">
      <c r="F118" s="268"/>
      <c r="G118"/>
      <c r="L118"/>
    </row>
    <row r="119" spans="6:12" x14ac:dyDescent="0.25">
      <c r="F119" s="268"/>
      <c r="G119"/>
      <c r="L119"/>
    </row>
    <row r="120" spans="6:12" x14ac:dyDescent="0.25">
      <c r="F120" s="268"/>
      <c r="G120"/>
      <c r="L120"/>
    </row>
    <row r="121" spans="6:12" x14ac:dyDescent="0.25">
      <c r="F121" s="268"/>
      <c r="G121"/>
      <c r="L121"/>
    </row>
    <row r="122" spans="6:12" x14ac:dyDescent="0.25">
      <c r="F122" s="268"/>
      <c r="G122"/>
      <c r="L122"/>
    </row>
    <row r="123" spans="6:12" x14ac:dyDescent="0.25">
      <c r="F123" s="268"/>
      <c r="G123"/>
      <c r="L123"/>
    </row>
    <row r="124" spans="6:12" x14ac:dyDescent="0.25">
      <c r="F124" s="268"/>
      <c r="G124"/>
      <c r="L124"/>
    </row>
    <row r="125" spans="6:12" x14ac:dyDescent="0.25">
      <c r="F125" s="268"/>
      <c r="G125"/>
      <c r="L125"/>
    </row>
    <row r="126" spans="6:12" x14ac:dyDescent="0.25">
      <c r="F126" s="268"/>
      <c r="G126"/>
      <c r="L126"/>
    </row>
    <row r="127" spans="6:12" x14ac:dyDescent="0.25">
      <c r="F127" s="268"/>
      <c r="G127"/>
      <c r="L127"/>
    </row>
    <row r="128" spans="6:12" x14ac:dyDescent="0.25">
      <c r="F128" s="268"/>
      <c r="G128"/>
      <c r="L128"/>
    </row>
    <row r="129" spans="6:12" x14ac:dyDescent="0.25">
      <c r="F129" s="268"/>
      <c r="G129"/>
      <c r="L129"/>
    </row>
    <row r="130" spans="6:12" x14ac:dyDescent="0.25">
      <c r="F130" s="268"/>
      <c r="G130"/>
      <c r="L130"/>
    </row>
    <row r="131" spans="6:12" x14ac:dyDescent="0.25">
      <c r="F131" s="268"/>
      <c r="G131"/>
      <c r="L131"/>
    </row>
    <row r="132" spans="6:12" x14ac:dyDescent="0.25">
      <c r="F132" s="268"/>
      <c r="G132"/>
      <c r="L132"/>
    </row>
    <row r="133" spans="6:12" x14ac:dyDescent="0.25">
      <c r="F133" s="268"/>
      <c r="G133"/>
      <c r="L133"/>
    </row>
    <row r="134" spans="6:12" x14ac:dyDescent="0.25">
      <c r="F134" s="268"/>
      <c r="G134"/>
      <c r="L134"/>
    </row>
    <row r="135" spans="6:12" x14ac:dyDescent="0.25">
      <c r="F135" s="268"/>
      <c r="G135"/>
      <c r="L135"/>
    </row>
    <row r="136" spans="6:12" x14ac:dyDescent="0.25">
      <c r="F136" s="268"/>
      <c r="G136"/>
      <c r="L136"/>
    </row>
    <row r="137" spans="6:12" x14ac:dyDescent="0.25">
      <c r="F137" s="268"/>
      <c r="G137"/>
      <c r="L137"/>
    </row>
    <row r="138" spans="6:12" x14ac:dyDescent="0.25">
      <c r="F138" s="268"/>
      <c r="G138"/>
      <c r="L138"/>
    </row>
    <row r="139" spans="6:12" x14ac:dyDescent="0.25">
      <c r="F139" s="268"/>
      <c r="G139"/>
      <c r="L139"/>
    </row>
    <row r="140" spans="6:12" x14ac:dyDescent="0.25">
      <c r="F140" s="268"/>
      <c r="G140"/>
      <c r="L140"/>
    </row>
    <row r="141" spans="6:12" x14ac:dyDescent="0.25">
      <c r="F141" s="268"/>
      <c r="G141"/>
      <c r="L141"/>
    </row>
    <row r="142" spans="6:12" x14ac:dyDescent="0.25">
      <c r="F142" s="268"/>
      <c r="G142"/>
      <c r="L142"/>
    </row>
    <row r="143" spans="6:12" x14ac:dyDescent="0.25">
      <c r="F143" s="268"/>
      <c r="G143"/>
      <c r="L143"/>
    </row>
    <row r="144" spans="6:12" x14ac:dyDescent="0.25">
      <c r="F144" s="268"/>
      <c r="G144"/>
      <c r="L144"/>
    </row>
    <row r="145" spans="6:12" x14ac:dyDescent="0.25">
      <c r="F145" s="268"/>
      <c r="G145"/>
      <c r="L145"/>
    </row>
    <row r="146" spans="6:12" x14ac:dyDescent="0.25">
      <c r="F146" s="268"/>
      <c r="G146"/>
      <c r="L146"/>
    </row>
    <row r="147" spans="6:12" x14ac:dyDescent="0.25">
      <c r="F147" s="268"/>
      <c r="G147"/>
      <c r="L147"/>
    </row>
    <row r="148" spans="6:12" x14ac:dyDescent="0.25">
      <c r="F148" s="268"/>
      <c r="G148"/>
      <c r="L148"/>
    </row>
    <row r="149" spans="6:12" x14ac:dyDescent="0.25">
      <c r="F149" s="268"/>
      <c r="G149"/>
      <c r="L149"/>
    </row>
    <row r="150" spans="6:12" x14ac:dyDescent="0.25">
      <c r="F150" s="268"/>
      <c r="G150"/>
      <c r="L150"/>
    </row>
    <row r="151" spans="6:12" x14ac:dyDescent="0.25">
      <c r="F151" s="268"/>
      <c r="G151"/>
      <c r="L151"/>
    </row>
    <row r="152" spans="6:12" x14ac:dyDescent="0.25">
      <c r="F152" s="268"/>
      <c r="G152"/>
      <c r="L152"/>
    </row>
    <row r="153" spans="6:12" x14ac:dyDescent="0.25">
      <c r="F153" s="268"/>
      <c r="G153"/>
      <c r="L153"/>
    </row>
    <row r="154" spans="6:12" x14ac:dyDescent="0.25">
      <c r="F154" s="268"/>
      <c r="G154"/>
      <c r="L154"/>
    </row>
    <row r="155" spans="6:12" x14ac:dyDescent="0.25">
      <c r="F155" s="268"/>
      <c r="G155"/>
      <c r="L155"/>
    </row>
    <row r="156" spans="6:12" x14ac:dyDescent="0.25">
      <c r="F156" s="268"/>
      <c r="G156"/>
      <c r="L156"/>
    </row>
    <row r="157" spans="6:12" x14ac:dyDescent="0.25">
      <c r="F157" s="268"/>
      <c r="G157"/>
      <c r="L157"/>
    </row>
    <row r="158" spans="6:12" x14ac:dyDescent="0.25">
      <c r="F158" s="268"/>
      <c r="G158"/>
      <c r="L158"/>
    </row>
    <row r="159" spans="6:12" x14ac:dyDescent="0.25">
      <c r="F159" s="268"/>
      <c r="G159"/>
      <c r="L159"/>
    </row>
    <row r="160" spans="6:12" x14ac:dyDescent="0.25">
      <c r="F160" s="268"/>
      <c r="G160"/>
      <c r="L160"/>
    </row>
    <row r="161" spans="6:12" x14ac:dyDescent="0.25">
      <c r="F161" s="268"/>
      <c r="G161"/>
      <c r="L161"/>
    </row>
    <row r="162" spans="6:12" x14ac:dyDescent="0.25">
      <c r="F162" s="268"/>
      <c r="G162"/>
      <c r="L162"/>
    </row>
    <row r="163" spans="6:12" x14ac:dyDescent="0.25">
      <c r="F163" s="268"/>
      <c r="G163"/>
      <c r="L163"/>
    </row>
    <row r="164" spans="6:12" x14ac:dyDescent="0.25">
      <c r="F164" s="268"/>
      <c r="G164"/>
      <c r="L164"/>
    </row>
    <row r="165" spans="6:12" x14ac:dyDescent="0.25">
      <c r="F165" s="268"/>
      <c r="G165"/>
      <c r="L165"/>
    </row>
    <row r="166" spans="6:12" x14ac:dyDescent="0.25">
      <c r="F166" s="268"/>
      <c r="G166"/>
      <c r="L166"/>
    </row>
    <row r="167" spans="6:12" x14ac:dyDescent="0.25">
      <c r="F167" s="268"/>
      <c r="G167"/>
      <c r="L167"/>
    </row>
    <row r="168" spans="6:12" x14ac:dyDescent="0.25">
      <c r="F168" s="268"/>
      <c r="G168"/>
      <c r="L168"/>
    </row>
    <row r="169" spans="6:12" x14ac:dyDescent="0.25">
      <c r="F169" s="268"/>
      <c r="G169"/>
      <c r="L169"/>
    </row>
    <row r="170" spans="6:12" x14ac:dyDescent="0.25">
      <c r="F170" s="268"/>
      <c r="G170"/>
      <c r="L170"/>
    </row>
    <row r="171" spans="6:12" x14ac:dyDescent="0.25">
      <c r="F171" s="268"/>
      <c r="G171"/>
      <c r="L171"/>
    </row>
    <row r="172" spans="6:12" x14ac:dyDescent="0.25">
      <c r="F172" s="268"/>
      <c r="G172"/>
      <c r="L172"/>
    </row>
    <row r="173" spans="6:12" x14ac:dyDescent="0.25">
      <c r="F173" s="268"/>
      <c r="G173"/>
      <c r="L173"/>
    </row>
    <row r="174" spans="6:12" x14ac:dyDescent="0.25">
      <c r="F174" s="268"/>
      <c r="G174"/>
      <c r="L174"/>
    </row>
    <row r="175" spans="6:12" x14ac:dyDescent="0.25">
      <c r="F175" s="268"/>
      <c r="G175"/>
      <c r="L175"/>
    </row>
    <row r="176" spans="6:12" x14ac:dyDescent="0.25">
      <c r="F176" s="268"/>
      <c r="G176"/>
      <c r="L176"/>
    </row>
    <row r="177" spans="6:12" x14ac:dyDescent="0.25">
      <c r="F177" s="268"/>
      <c r="G177"/>
      <c r="L177"/>
    </row>
    <row r="178" spans="6:12" x14ac:dyDescent="0.25">
      <c r="F178" s="268"/>
      <c r="G178"/>
      <c r="L178"/>
    </row>
    <row r="179" spans="6:12" x14ac:dyDescent="0.25">
      <c r="F179" s="268"/>
      <c r="G179"/>
      <c r="L179"/>
    </row>
    <row r="180" spans="6:12" x14ac:dyDescent="0.25">
      <c r="F180" s="268"/>
      <c r="G180"/>
      <c r="L180"/>
    </row>
  </sheetData>
  <mergeCells count="1">
    <mergeCell ref="B50:B5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A65C-6F00-4B51-A33B-8704A7FBA151}">
  <sheetPr>
    <pageSetUpPr fitToPage="1"/>
  </sheetPr>
  <dimension ref="B2:Q127"/>
  <sheetViews>
    <sheetView workbookViewId="0"/>
  </sheetViews>
  <sheetFormatPr defaultRowHeight="15" x14ac:dyDescent="0.25"/>
  <cols>
    <col min="2" max="2" width="42.28515625" bestFit="1" customWidth="1"/>
    <col min="3" max="4" width="15.7109375" customWidth="1"/>
    <col min="5" max="5" width="7.7109375" style="357" bestFit="1" customWidth="1"/>
    <col min="6" max="6" width="15.7109375" customWidth="1"/>
    <col min="7" max="7" width="70.85546875" style="268" customWidth="1"/>
    <col min="8" max="8" width="12.85546875" bestFit="1" customWidth="1"/>
    <col min="9" max="9" width="18" bestFit="1" customWidth="1"/>
    <col min="12" max="12" width="15.5703125" bestFit="1" customWidth="1"/>
    <col min="17" max="17" width="10.42578125" bestFit="1" customWidth="1"/>
  </cols>
  <sheetData>
    <row r="2" spans="2:14" ht="45" x14ac:dyDescent="0.25">
      <c r="B2" s="291" t="s">
        <v>222</v>
      </c>
      <c r="C2" s="344" t="s">
        <v>223</v>
      </c>
      <c r="D2" s="393" t="s">
        <v>437</v>
      </c>
      <c r="E2" s="360" t="s">
        <v>225</v>
      </c>
      <c r="F2" s="362" t="s">
        <v>226</v>
      </c>
    </row>
    <row r="4" spans="2:14" x14ac:dyDescent="0.25">
      <c r="B4" s="292" t="s">
        <v>227</v>
      </c>
      <c r="C4" s="290"/>
      <c r="D4" s="290"/>
      <c r="F4" s="290"/>
    </row>
    <row r="5" spans="2:14" x14ac:dyDescent="0.25">
      <c r="B5" s="292" t="s">
        <v>13</v>
      </c>
      <c r="C5" s="290">
        <f>+'Budget Sheet'!I7</f>
        <v>45560</v>
      </c>
      <c r="D5" s="290">
        <v>45560</v>
      </c>
      <c r="E5" s="357">
        <f>+D5/C5</f>
        <v>1</v>
      </c>
      <c r="F5" s="290">
        <f>+C5-D5</f>
        <v>0</v>
      </c>
      <c r="G5" s="268" t="s">
        <v>228</v>
      </c>
    </row>
    <row r="6" spans="2:14" x14ac:dyDescent="0.25">
      <c r="B6" s="292" t="s">
        <v>229</v>
      </c>
      <c r="C6" s="290">
        <f>+'Budget Sheet'!I8</f>
        <v>2364</v>
      </c>
      <c r="D6" s="290">
        <v>2364</v>
      </c>
      <c r="E6" s="357">
        <f>+D6/C6</f>
        <v>1</v>
      </c>
      <c r="F6" s="290">
        <f t="shared" ref="F6:F9" si="0">+C6-D6</f>
        <v>0</v>
      </c>
    </row>
    <row r="7" spans="2:14" x14ac:dyDescent="0.25">
      <c r="B7" s="292" t="s">
        <v>231</v>
      </c>
      <c r="C7" s="290">
        <f>+'Budget Sheet'!I9</f>
        <v>1322.5</v>
      </c>
      <c r="D7" s="290">
        <f>+'Apr - Jun 2024'!J13</f>
        <v>1322.5</v>
      </c>
      <c r="E7" s="357">
        <f>+D7/C7</f>
        <v>1</v>
      </c>
      <c r="F7" s="290">
        <f t="shared" si="0"/>
        <v>0</v>
      </c>
    </row>
    <row r="8" spans="2:14" s="268" customFormat="1" x14ac:dyDescent="0.25">
      <c r="B8" s="292" t="s">
        <v>16</v>
      </c>
      <c r="C8" s="290">
        <v>0</v>
      </c>
      <c r="D8" s="290">
        <v>3894</v>
      </c>
      <c r="E8" s="357"/>
      <c r="F8" s="290">
        <f t="shared" si="0"/>
        <v>-3894</v>
      </c>
      <c r="H8"/>
      <c r="I8"/>
      <c r="J8"/>
      <c r="K8"/>
      <c r="L8"/>
      <c r="M8"/>
      <c r="N8"/>
    </row>
    <row r="9" spans="2:14" s="268" customFormat="1" x14ac:dyDescent="0.25">
      <c r="B9" s="292" t="s">
        <v>15</v>
      </c>
      <c r="C9" s="290">
        <f>+'Budget Sheet'!I12</f>
        <v>271.5</v>
      </c>
      <c r="D9" s="290">
        <f>+'Apr - Jun 2024'!J25+93.6+93.6</f>
        <v>277.7</v>
      </c>
      <c r="E9" s="357"/>
      <c r="F9" s="290">
        <f t="shared" si="0"/>
        <v>-6.1999999999999886</v>
      </c>
      <c r="H9"/>
      <c r="I9"/>
      <c r="J9"/>
      <c r="K9"/>
      <c r="L9"/>
      <c r="M9"/>
      <c r="N9"/>
    </row>
    <row r="10" spans="2:14" s="268" customFormat="1" x14ac:dyDescent="0.25">
      <c r="B10" s="293" t="s">
        <v>233</v>
      </c>
      <c r="C10" s="295">
        <f>SUM(C5:C9)</f>
        <v>49518</v>
      </c>
      <c r="D10" s="295">
        <f>SUM(D5:D9)</f>
        <v>53418.2</v>
      </c>
      <c r="E10" s="358">
        <f>+D10/C10</f>
        <v>1.0787632779999192</v>
      </c>
      <c r="F10" s="295">
        <f>+C10-D10</f>
        <v>-3900.1999999999971</v>
      </c>
      <c r="G10" s="385"/>
      <c r="H10"/>
      <c r="I10"/>
      <c r="J10"/>
      <c r="K10"/>
      <c r="L10"/>
      <c r="M10"/>
      <c r="N10"/>
    </row>
    <row r="11" spans="2:14" s="268" customFormat="1" x14ac:dyDescent="0.25">
      <c r="B11" s="292" t="s">
        <v>234</v>
      </c>
      <c r="C11" s="290">
        <f>+'Budget Sheet'!I14</f>
        <v>2436.4000000000015</v>
      </c>
      <c r="D11" s="290">
        <f>+'Jan - March 2025'!AB32</f>
        <v>2000</v>
      </c>
      <c r="E11" s="357"/>
      <c r="F11" s="290">
        <f>+C11-D11</f>
        <v>436.40000000000146</v>
      </c>
      <c r="G11" s="268" t="s">
        <v>319</v>
      </c>
      <c r="H11"/>
      <c r="I11"/>
      <c r="J11"/>
      <c r="K11"/>
      <c r="L11"/>
      <c r="M11"/>
      <c r="N11"/>
    </row>
    <row r="12" spans="2:14" s="268" customFormat="1" x14ac:dyDescent="0.25">
      <c r="B12" s="293" t="s">
        <v>236</v>
      </c>
      <c r="C12" s="295">
        <f>SUM(C10:C11)</f>
        <v>51954.400000000001</v>
      </c>
      <c r="D12" s="295">
        <f>SUM(D10:D11)</f>
        <v>55418.2</v>
      </c>
      <c r="E12" s="358"/>
      <c r="F12" s="295"/>
      <c r="G12" s="385"/>
      <c r="H12"/>
      <c r="I12"/>
      <c r="J12"/>
      <c r="K12"/>
      <c r="L12"/>
      <c r="M12"/>
      <c r="N12"/>
    </row>
    <row r="13" spans="2:14" s="268" customFormat="1" x14ac:dyDescent="0.25">
      <c r="B13" s="292"/>
      <c r="C13" s="290"/>
      <c r="D13" s="290"/>
      <c r="E13" s="357"/>
      <c r="F13" s="290"/>
      <c r="G13" s="385"/>
      <c r="H13"/>
      <c r="I13"/>
      <c r="J13"/>
      <c r="K13"/>
      <c r="L13"/>
      <c r="M13"/>
      <c r="N13"/>
    </row>
    <row r="14" spans="2:14" s="268" customFormat="1" x14ac:dyDescent="0.25">
      <c r="B14" s="292" t="s">
        <v>237</v>
      </c>
      <c r="C14" s="290"/>
      <c r="D14" s="290"/>
      <c r="E14" s="357"/>
      <c r="F14" s="290"/>
      <c r="H14"/>
      <c r="I14"/>
      <c r="J14"/>
      <c r="K14"/>
      <c r="L14"/>
      <c r="M14"/>
      <c r="N14"/>
    </row>
    <row r="15" spans="2:14" s="268" customFormat="1" x14ac:dyDescent="0.25">
      <c r="B15" s="296" t="s">
        <v>238</v>
      </c>
      <c r="C15" s="290">
        <f>+'Budget Sheet'!I20-C16-C17</f>
        <v>13780</v>
      </c>
      <c r="D15" s="290">
        <f>+'Apr - Jun 2024'!M6+'Apr - Jun 2024'!M22+'Apr - Jun 2024'!M27+'July - Sept 2024'!M8+'July - Sept 2024'!M16+'July - Sept 2024'!M25+'Oct - Dec 2024'!M7+'Oct - Dec 2024'!M14+'Oct - Dec 2024'!M26+'Jan - March 2025'!M7+'Jan - March 2025'!M14+'Jan - March 2025'!M20</f>
        <v>13245.9</v>
      </c>
      <c r="E15" s="357">
        <f>+D15/C15</f>
        <v>0.96124092888243828</v>
      </c>
      <c r="F15" s="290">
        <f t="shared" ref="F15:F17" si="1">+C15-D15</f>
        <v>534.10000000000036</v>
      </c>
      <c r="G15" s="385"/>
      <c r="H15"/>
      <c r="I15"/>
      <c r="J15"/>
      <c r="K15"/>
      <c r="L15"/>
      <c r="M15"/>
      <c r="N15"/>
    </row>
    <row r="16" spans="2:14" s="268" customFormat="1" x14ac:dyDescent="0.25">
      <c r="B16" s="296" t="s">
        <v>239</v>
      </c>
      <c r="C16" s="290">
        <v>1195</v>
      </c>
      <c r="D16" s="290">
        <f>+'Apr - Jun 2024'!M7+'Apr - Jun 2024'!M23+'Apr - Jun 2024'!M28+'July - Sept 2024'!M9+'July - Sept 2024'!M17+'July - Sept 2024'!M26+'Oct - Dec 2024'!M8+'Oct - Dec 2024'!M15+'Oct - Dec 2024'!M27+'Jan - March 2025'!M8+'Jan - March 2025'!M15+'Jan - March 2025'!M21</f>
        <v>1376.5799999999997</v>
      </c>
      <c r="E16" s="357">
        <f>+D16/C16</f>
        <v>1.1519497907949787</v>
      </c>
      <c r="F16" s="290">
        <f t="shared" si="1"/>
        <v>-181.5799999999997</v>
      </c>
      <c r="G16" s="392"/>
      <c r="H16"/>
      <c r="I16"/>
      <c r="J16"/>
      <c r="K16"/>
      <c r="L16"/>
      <c r="M16"/>
      <c r="N16"/>
    </row>
    <row r="17" spans="2:14" s="268" customFormat="1" x14ac:dyDescent="0.25">
      <c r="B17" s="296" t="s">
        <v>240</v>
      </c>
      <c r="C17" s="290">
        <v>4525</v>
      </c>
      <c r="D17" s="290">
        <f>+'Apr - Jun 2024'!M8+'Apr - Jun 2024'!M24+'Apr - Jun 2024'!M29+'July - Sept 2024'!M10+'July - Sept 2024'!M18+'July - Sept 2024'!M27+'Oct - Dec 2024'!M9+'Oct - Dec 2024'!M16+'Oct - Dec 2024'!M28+'Jan - March 2025'!M9+'Jan - March 2025'!M16+'Jan - March 2025'!M22</f>
        <v>5360.03</v>
      </c>
      <c r="E17" s="357">
        <f>+D17/C17</f>
        <v>1.1845370165745857</v>
      </c>
      <c r="F17" s="290">
        <f t="shared" si="1"/>
        <v>-835.02999999999975</v>
      </c>
      <c r="H17"/>
      <c r="I17"/>
      <c r="J17"/>
      <c r="K17"/>
      <c r="L17"/>
      <c r="M17"/>
      <c r="N17"/>
    </row>
    <row r="18" spans="2:14" s="268" customFormat="1" x14ac:dyDescent="0.25">
      <c r="B18" s="297" t="s">
        <v>241</v>
      </c>
      <c r="C18" s="295">
        <f>SUM(C15:C17)</f>
        <v>19500</v>
      </c>
      <c r="D18" s="295">
        <f>SUM(D15:D17)</f>
        <v>19982.509999999998</v>
      </c>
      <c r="E18" s="358">
        <f>+D18/C18</f>
        <v>1.0247441025641024</v>
      </c>
      <c r="F18" s="294">
        <f>+C18-D18</f>
        <v>-482.5099999999984</v>
      </c>
      <c r="H18"/>
      <c r="I18"/>
      <c r="J18"/>
      <c r="K18"/>
      <c r="L18"/>
      <c r="M18"/>
      <c r="N18"/>
    </row>
    <row r="19" spans="2:14" s="268" customFormat="1" x14ac:dyDescent="0.25">
      <c r="B19"/>
      <c r="C19" s="290"/>
      <c r="D19" s="290"/>
      <c r="E19" s="357"/>
      <c r="F19" s="290"/>
      <c r="H19"/>
      <c r="I19"/>
      <c r="J19" s="476"/>
      <c r="K19"/>
      <c r="L19"/>
      <c r="M19"/>
      <c r="N19"/>
    </row>
    <row r="20" spans="2:14" x14ac:dyDescent="0.25">
      <c r="B20" s="292" t="s">
        <v>243</v>
      </c>
      <c r="C20" s="290"/>
      <c r="D20" s="290"/>
      <c r="F20" s="290"/>
    </row>
    <row r="21" spans="2:14" x14ac:dyDescent="0.25">
      <c r="B21" s="296" t="s">
        <v>244</v>
      </c>
      <c r="C21" s="290">
        <v>630</v>
      </c>
      <c r="D21" s="290">
        <f>+'Apr - Jun 2024'!N6+'Apr - Jun 2024'!N7+'Apr - Jun 2024'!N22+'Apr - Jun 2024'!N23+'Apr - Jun 2024'!N27+'Apr - Jun 2024'!N28+'July - Sept 2024'!N8+'July - Sept 2024'!N16+'July - Sept 2024'!N25+'Oct - Dec 2024'!N7+'Oct - Dec 2024'!N14+'Oct - Dec 2024'!N26+'Jan - March 2025'!N7+52.5+52.5</f>
        <v>634.38</v>
      </c>
      <c r="E21" s="357">
        <f t="shared" ref="E21:E30" si="2">+D21/C21</f>
        <v>1.006952380952381</v>
      </c>
      <c r="F21" s="290">
        <f t="shared" ref="F21:F29" si="3">+C21-D21</f>
        <v>-4.3799999999999955</v>
      </c>
      <c r="G21" s="296"/>
      <c r="H21" s="473"/>
    </row>
    <row r="22" spans="2:14" x14ac:dyDescent="0.25">
      <c r="B22" s="296" t="s">
        <v>245</v>
      </c>
      <c r="C22" s="290">
        <v>683</v>
      </c>
      <c r="D22" s="290">
        <f>+'Apr - Jun 2024'!N11</f>
        <v>660</v>
      </c>
      <c r="E22" s="357">
        <f t="shared" si="2"/>
        <v>0.96632503660322111</v>
      </c>
      <c r="F22" s="290">
        <f t="shared" si="3"/>
        <v>23</v>
      </c>
      <c r="G22" s="296"/>
      <c r="H22" s="473"/>
    </row>
    <row r="23" spans="2:14" x14ac:dyDescent="0.25">
      <c r="B23" s="296" t="s">
        <v>247</v>
      </c>
      <c r="C23" s="290">
        <v>3518</v>
      </c>
      <c r="D23" s="290">
        <f>+'July - Sept 2024'!N29</f>
        <v>3350</v>
      </c>
      <c r="E23" s="357">
        <f t="shared" si="2"/>
        <v>0.95224559408754972</v>
      </c>
      <c r="F23" s="290">
        <f t="shared" si="3"/>
        <v>168</v>
      </c>
      <c r="G23" s="296"/>
      <c r="H23" s="473"/>
      <c r="N23" s="76"/>
    </row>
    <row r="24" spans="2:14" x14ac:dyDescent="0.25">
      <c r="B24" s="296" t="s">
        <v>249</v>
      </c>
      <c r="C24" s="290">
        <v>60</v>
      </c>
      <c r="D24" s="290">
        <v>0</v>
      </c>
      <c r="E24" s="357">
        <f t="shared" si="2"/>
        <v>0</v>
      </c>
      <c r="F24" s="290">
        <f t="shared" si="3"/>
        <v>60</v>
      </c>
      <c r="G24" s="296"/>
      <c r="H24" s="473"/>
      <c r="N24" s="76"/>
    </row>
    <row r="25" spans="2:14" x14ac:dyDescent="0.25">
      <c r="B25" s="296" t="s">
        <v>250</v>
      </c>
      <c r="C25" s="290">
        <v>39.5</v>
      </c>
      <c r="D25" s="290">
        <v>0</v>
      </c>
      <c r="E25" s="357">
        <f t="shared" si="2"/>
        <v>0</v>
      </c>
      <c r="F25" s="290">
        <f t="shared" si="3"/>
        <v>39.5</v>
      </c>
      <c r="G25" s="296"/>
      <c r="H25" s="473"/>
      <c r="N25" s="76"/>
    </row>
    <row r="26" spans="2:14" x14ac:dyDescent="0.25">
      <c r="B26" s="296" t="s">
        <v>251</v>
      </c>
      <c r="C26" s="290">
        <v>450</v>
      </c>
      <c r="D26" s="290">
        <f>+'July - Sept 2024'!N15+'Jan - March 2025'!N11</f>
        <v>183.67</v>
      </c>
      <c r="E26" s="357">
        <f t="shared" si="2"/>
        <v>0.40815555555555555</v>
      </c>
      <c r="F26" s="290">
        <f t="shared" si="3"/>
        <v>266.33000000000004</v>
      </c>
      <c r="G26" s="296"/>
      <c r="H26" s="473"/>
      <c r="N26" s="76"/>
    </row>
    <row r="27" spans="2:14" x14ac:dyDescent="0.25">
      <c r="B27" s="296" t="s">
        <v>252</v>
      </c>
      <c r="C27" s="290">
        <v>0</v>
      </c>
      <c r="D27" s="290">
        <v>0</v>
      </c>
      <c r="E27" s="357">
        <v>0</v>
      </c>
      <c r="F27" s="290">
        <f t="shared" si="3"/>
        <v>0</v>
      </c>
      <c r="G27" s="296"/>
      <c r="H27" s="473"/>
      <c r="N27" s="76"/>
    </row>
    <row r="28" spans="2:14" x14ac:dyDescent="0.25">
      <c r="B28" s="296" t="s">
        <v>253</v>
      </c>
      <c r="C28" s="290">
        <v>119.5</v>
      </c>
      <c r="D28" s="290">
        <f>+'Oct - Dec 2024'!N33</f>
        <v>47</v>
      </c>
      <c r="E28" s="357">
        <f t="shared" si="2"/>
        <v>0.39330543933054396</v>
      </c>
      <c r="F28" s="290">
        <f t="shared" si="3"/>
        <v>72.5</v>
      </c>
      <c r="G28" s="296"/>
      <c r="H28" s="473"/>
      <c r="N28" s="361"/>
    </row>
    <row r="29" spans="2:14" x14ac:dyDescent="0.25">
      <c r="B29" s="296" t="s">
        <v>254</v>
      </c>
      <c r="C29" s="290">
        <v>0</v>
      </c>
      <c r="D29" s="290">
        <v>0</v>
      </c>
      <c r="E29" s="357" t="e">
        <f t="shared" si="2"/>
        <v>#DIV/0!</v>
      </c>
      <c r="F29" s="290">
        <f t="shared" si="3"/>
        <v>0</v>
      </c>
      <c r="N29" s="76"/>
    </row>
    <row r="30" spans="2:14" x14ac:dyDescent="0.25">
      <c r="B30" s="297" t="s">
        <v>255</v>
      </c>
      <c r="C30" s="295">
        <f>SUM(C21:C29)</f>
        <v>5500</v>
      </c>
      <c r="D30" s="295">
        <f>SUM(D21:D29)</f>
        <v>4875.05</v>
      </c>
      <c r="E30" s="358">
        <f t="shared" si="2"/>
        <v>0.88637272727272731</v>
      </c>
      <c r="F30" s="294">
        <f>+C30-D30</f>
        <v>624.94999999999982</v>
      </c>
      <c r="H30" s="474"/>
      <c r="N30" s="76"/>
    </row>
    <row r="31" spans="2:14" x14ac:dyDescent="0.25">
      <c r="C31" s="290"/>
      <c r="D31" s="290"/>
      <c r="F31" s="290"/>
      <c r="J31" s="381"/>
      <c r="N31" s="76"/>
    </row>
    <row r="32" spans="2:14" x14ac:dyDescent="0.25">
      <c r="B32" s="292" t="s">
        <v>256</v>
      </c>
      <c r="C32" s="290"/>
      <c r="D32" s="290"/>
      <c r="F32" s="290"/>
      <c r="N32" s="76"/>
    </row>
    <row r="33" spans="2:17" x14ac:dyDescent="0.25">
      <c r="B33" s="298" t="s">
        <v>257</v>
      </c>
      <c r="C33" s="290">
        <v>2035</v>
      </c>
      <c r="D33" s="290">
        <f>1357+678.33</f>
        <v>2035.33</v>
      </c>
      <c r="E33" s="357">
        <f t="shared" ref="E33:E40" si="4">+D33/C33</f>
        <v>1.0001621621621621</v>
      </c>
      <c r="F33" s="290">
        <f t="shared" ref="F33:F39" si="5">+C33-D33</f>
        <v>-0.32999999999992724</v>
      </c>
      <c r="G33"/>
      <c r="H33" s="473"/>
      <c r="N33" s="76"/>
    </row>
    <row r="34" spans="2:17" x14ac:dyDescent="0.25">
      <c r="B34" s="298" t="s">
        <v>258</v>
      </c>
      <c r="C34" s="290">
        <v>6384</v>
      </c>
      <c r="D34" s="290">
        <f>7411.5+141.5</f>
        <v>7553</v>
      </c>
      <c r="E34" s="357">
        <f t="shared" si="4"/>
        <v>1.1831140350877194</v>
      </c>
      <c r="F34" s="290">
        <f t="shared" si="5"/>
        <v>-1169</v>
      </c>
      <c r="G34"/>
      <c r="H34" s="473"/>
      <c r="I34" s="381"/>
      <c r="N34" s="76"/>
    </row>
    <row r="35" spans="2:17" x14ac:dyDescent="0.25">
      <c r="B35" s="298" t="s">
        <v>259</v>
      </c>
      <c r="C35" s="290">
        <v>572</v>
      </c>
      <c r="D35" s="290">
        <f>601.5+75.6</f>
        <v>677.1</v>
      </c>
      <c r="E35" s="357">
        <f t="shared" si="4"/>
        <v>1.1837412587412588</v>
      </c>
      <c r="F35" s="290">
        <f t="shared" si="5"/>
        <v>-105.10000000000002</v>
      </c>
      <c r="G35"/>
      <c r="H35" s="473"/>
      <c r="N35" s="76"/>
    </row>
    <row r="36" spans="2:17" x14ac:dyDescent="0.25">
      <c r="B36" s="298" t="s">
        <v>260</v>
      </c>
      <c r="C36" s="290">
        <v>571.5</v>
      </c>
      <c r="D36" s="290">
        <f>405.75+165.75</f>
        <v>571.5</v>
      </c>
      <c r="E36" s="357">
        <f t="shared" si="4"/>
        <v>1</v>
      </c>
      <c r="F36" s="290">
        <f t="shared" si="5"/>
        <v>0</v>
      </c>
      <c r="G36"/>
      <c r="H36" s="473"/>
      <c r="N36" s="76"/>
    </row>
    <row r="37" spans="2:17" x14ac:dyDescent="0.25">
      <c r="B37" s="298" t="s">
        <v>261</v>
      </c>
      <c r="C37" s="290">
        <v>1416</v>
      </c>
      <c r="D37" s="290">
        <v>1415.5</v>
      </c>
      <c r="E37" s="357">
        <f t="shared" si="4"/>
        <v>0.99964689265536721</v>
      </c>
      <c r="F37" s="290">
        <f t="shared" si="5"/>
        <v>0.5</v>
      </c>
      <c r="G37"/>
      <c r="H37" s="473"/>
      <c r="I37" s="381"/>
      <c r="N37" s="76"/>
    </row>
    <row r="38" spans="2:17" x14ac:dyDescent="0.25">
      <c r="B38" s="298" t="s">
        <v>262</v>
      </c>
      <c r="C38" s="290">
        <v>1474.5</v>
      </c>
      <c r="D38" s="290">
        <f>742+742</f>
        <v>1484</v>
      </c>
      <c r="E38" s="357">
        <f t="shared" si="4"/>
        <v>1.0064428619871142</v>
      </c>
      <c r="F38" s="290">
        <f t="shared" si="5"/>
        <v>-9.5</v>
      </c>
      <c r="G38"/>
      <c r="H38" s="473"/>
      <c r="N38" s="76"/>
      <c r="O38" s="383"/>
    </row>
    <row r="39" spans="2:17" x14ac:dyDescent="0.25">
      <c r="B39" s="298" t="s">
        <v>263</v>
      </c>
      <c r="C39" s="290">
        <v>2400</v>
      </c>
      <c r="D39" s="290">
        <f>75+35</f>
        <v>110</v>
      </c>
      <c r="E39" s="380">
        <f>+D39/C39</f>
        <v>4.583333333333333E-2</v>
      </c>
      <c r="F39" s="290">
        <f t="shared" si="5"/>
        <v>2290</v>
      </c>
      <c r="G39" t="s">
        <v>330</v>
      </c>
      <c r="H39" s="473"/>
      <c r="J39" s="384"/>
      <c r="K39" s="381"/>
      <c r="N39" s="76"/>
    </row>
    <row r="40" spans="2:17" x14ac:dyDescent="0.25">
      <c r="B40" s="299" t="s">
        <v>265</v>
      </c>
      <c r="C40" s="295">
        <f>SUM(C33:C39)</f>
        <v>14853</v>
      </c>
      <c r="D40" s="295">
        <f>SUM(D33:D39)</f>
        <v>13846.43</v>
      </c>
      <c r="E40" s="358">
        <f t="shared" si="4"/>
        <v>0.93223119908436003</v>
      </c>
      <c r="F40" s="294">
        <f>+C40-D40</f>
        <v>1006.5699999999997</v>
      </c>
      <c r="G40"/>
      <c r="H40" s="473"/>
      <c r="N40" s="76"/>
    </row>
    <row r="41" spans="2:17" x14ac:dyDescent="0.25">
      <c r="B41" s="298"/>
      <c r="C41" s="290"/>
      <c r="D41" s="290"/>
      <c r="E41" s="472"/>
      <c r="F41" s="290"/>
      <c r="G41"/>
      <c r="H41" s="349"/>
      <c r="N41" s="76"/>
    </row>
    <row r="42" spans="2:17" x14ac:dyDescent="0.25">
      <c r="B42" s="298"/>
      <c r="C42" s="290"/>
      <c r="D42" s="290"/>
      <c r="F42" s="290"/>
      <c r="G42" s="381"/>
      <c r="H42" s="349"/>
      <c r="N42" s="76"/>
      <c r="O42" s="383"/>
      <c r="Q42" s="582"/>
    </row>
    <row r="43" spans="2:17" x14ac:dyDescent="0.25">
      <c r="B43" s="300" t="s">
        <v>267</v>
      </c>
      <c r="C43" s="290"/>
      <c r="D43" s="290"/>
      <c r="F43" s="290"/>
      <c r="G43"/>
      <c r="H43" s="349"/>
      <c r="N43" s="76"/>
      <c r="Q43" s="582"/>
    </row>
    <row r="44" spans="2:17" x14ac:dyDescent="0.25">
      <c r="B44" s="298" t="s">
        <v>268</v>
      </c>
      <c r="C44" s="290">
        <f>+'Budget Sheet'!I23-'Forecast Year End Report'!C45-'Forecast Year End Report'!C46</f>
        <v>1245</v>
      </c>
      <c r="D44" s="290">
        <f>+'Apr - Jun 2024'!P19+'Oct - Dec 2024'!P24+'Oct - Dec 2024'!P25</f>
        <v>2891</v>
      </c>
      <c r="E44" s="357">
        <f t="shared" ref="E44:E48" si="6">+D44/C44</f>
        <v>2.3220883534136547</v>
      </c>
      <c r="F44" s="290">
        <f t="shared" ref="F44:F47" si="7">+C44-D44</f>
        <v>-1646</v>
      </c>
      <c r="G44"/>
      <c r="H44" s="580"/>
      <c r="N44" s="76"/>
      <c r="Q44" s="581"/>
    </row>
    <row r="45" spans="2:17" x14ac:dyDescent="0.25">
      <c r="B45" s="298" t="s">
        <v>269</v>
      </c>
      <c r="C45" s="290">
        <v>35</v>
      </c>
      <c r="D45" s="290">
        <f>35</f>
        <v>35</v>
      </c>
      <c r="E45" s="357">
        <f t="shared" si="6"/>
        <v>1</v>
      </c>
      <c r="F45" s="290">
        <f t="shared" si="7"/>
        <v>0</v>
      </c>
      <c r="G45"/>
      <c r="H45" s="349"/>
      <c r="N45" s="76"/>
      <c r="Q45" s="581"/>
    </row>
    <row r="46" spans="2:17" x14ac:dyDescent="0.25">
      <c r="B46" s="298" t="s">
        <v>270</v>
      </c>
      <c r="C46" s="290">
        <v>220</v>
      </c>
      <c r="D46" s="290">
        <f>+'Jan - March 2025'!P24</f>
        <v>0</v>
      </c>
      <c r="E46" s="357">
        <f t="shared" si="6"/>
        <v>0</v>
      </c>
      <c r="F46" s="290">
        <f t="shared" si="7"/>
        <v>220</v>
      </c>
      <c r="N46" s="76"/>
      <c r="Q46" s="581"/>
    </row>
    <row r="47" spans="2:17" x14ac:dyDescent="0.25">
      <c r="B47" s="298" t="s">
        <v>271</v>
      </c>
      <c r="C47" s="290">
        <v>0</v>
      </c>
      <c r="D47" s="290">
        <f>+'Apr - Jun 2024'!P14</f>
        <v>174</v>
      </c>
      <c r="F47" s="290">
        <f t="shared" si="7"/>
        <v>-174</v>
      </c>
      <c r="N47" s="76"/>
      <c r="Q47" s="581"/>
    </row>
    <row r="48" spans="2:17" x14ac:dyDescent="0.25">
      <c r="B48" s="299" t="s">
        <v>272</v>
      </c>
      <c r="C48" s="295">
        <f>SUM(C44:C47)</f>
        <v>1500</v>
      </c>
      <c r="D48" s="295">
        <f>SUM(D44:D47)</f>
        <v>3100</v>
      </c>
      <c r="E48" s="358">
        <f t="shared" si="6"/>
        <v>2.0666666666666669</v>
      </c>
      <c r="F48" s="295">
        <f>+C48-D48</f>
        <v>-1600</v>
      </c>
      <c r="H48" s="271"/>
      <c r="N48" s="76"/>
      <c r="O48" s="383"/>
      <c r="Q48" s="581"/>
    </row>
    <row r="49" spans="2:17" x14ac:dyDescent="0.25">
      <c r="B49" s="298"/>
      <c r="C49" s="290"/>
      <c r="D49" s="290"/>
      <c r="F49" s="290"/>
      <c r="N49" s="76"/>
      <c r="O49" s="383"/>
      <c r="Q49" s="583"/>
    </row>
    <row r="50" spans="2:17" x14ac:dyDescent="0.25">
      <c r="B50" s="299" t="s">
        <v>88</v>
      </c>
      <c r="C50" s="295">
        <f>+'Budget Sheet'!I24</f>
        <v>80</v>
      </c>
      <c r="D50" s="295">
        <v>71</v>
      </c>
      <c r="E50" s="358">
        <f t="shared" ref="E50:E51" si="8">+D50/C50</f>
        <v>0.88749999999999996</v>
      </c>
      <c r="F50" s="295">
        <f>+C50-D50</f>
        <v>9</v>
      </c>
      <c r="H50" s="271"/>
      <c r="N50" s="76"/>
      <c r="O50" s="383"/>
      <c r="Q50" s="581"/>
    </row>
    <row r="51" spans="2:17" x14ac:dyDescent="0.25">
      <c r="B51" s="299" t="s">
        <v>274</v>
      </c>
      <c r="C51" s="295">
        <f>+'Budget Sheet'!I25</f>
        <v>650</v>
      </c>
      <c r="D51" s="295">
        <v>635</v>
      </c>
      <c r="E51" s="358">
        <f t="shared" si="8"/>
        <v>0.97692307692307689</v>
      </c>
      <c r="F51" s="295">
        <f>+C51-D51</f>
        <v>15</v>
      </c>
      <c r="H51" s="271"/>
      <c r="N51" s="76"/>
      <c r="O51" s="383"/>
      <c r="Q51" s="581"/>
    </row>
    <row r="52" spans="2:17" x14ac:dyDescent="0.25">
      <c r="B52" s="296"/>
      <c r="C52" s="290"/>
      <c r="D52" s="290"/>
      <c r="F52" s="290"/>
      <c r="N52" s="76"/>
      <c r="Q52" s="581"/>
    </row>
    <row r="53" spans="2:17" x14ac:dyDescent="0.25">
      <c r="B53" s="292" t="s">
        <v>276</v>
      </c>
      <c r="C53" s="290"/>
      <c r="D53" s="290"/>
      <c r="F53" s="290"/>
      <c r="N53" s="115"/>
      <c r="O53" s="381"/>
    </row>
    <row r="54" spans="2:17" x14ac:dyDescent="0.25">
      <c r="B54" s="296" t="s">
        <v>277</v>
      </c>
      <c r="C54" s="290">
        <f>+'Budget Sheet'!I26</f>
        <v>650</v>
      </c>
      <c r="D54" s="290">
        <f>+'Apr - Jun 2024'!S39</f>
        <v>790.17</v>
      </c>
      <c r="E54" s="357">
        <f t="shared" ref="E54:E60" si="9">+D54/C54</f>
        <v>1.2156461538461538</v>
      </c>
      <c r="F54" s="290">
        <f t="shared" ref="F54:F59" si="10">+C54-D54</f>
        <v>-140.16999999999996</v>
      </c>
      <c r="N54" s="115"/>
      <c r="O54" s="381"/>
    </row>
    <row r="55" spans="2:17" x14ac:dyDescent="0.25">
      <c r="B55" s="296" t="s">
        <v>85</v>
      </c>
      <c r="C55" s="290">
        <v>35</v>
      </c>
      <c r="D55" s="290">
        <f>+'Apr - Jun 2024'!T34</f>
        <v>35</v>
      </c>
      <c r="E55" s="357">
        <f t="shared" si="9"/>
        <v>1</v>
      </c>
      <c r="F55" s="290">
        <f t="shared" si="10"/>
        <v>0</v>
      </c>
      <c r="N55" s="115"/>
    </row>
    <row r="56" spans="2:17" x14ac:dyDescent="0.25">
      <c r="B56" s="296" t="s">
        <v>280</v>
      </c>
      <c r="C56" s="290">
        <v>627</v>
      </c>
      <c r="D56" s="290">
        <f>+'Jan - March 2025'!T12</f>
        <v>610.23</v>
      </c>
      <c r="E56" s="357">
        <f t="shared" si="9"/>
        <v>0.97325358851674648</v>
      </c>
      <c r="F56" s="290">
        <f t="shared" si="10"/>
        <v>16.769999999999982</v>
      </c>
      <c r="N56" s="115"/>
      <c r="Q56" s="581"/>
    </row>
    <row r="57" spans="2:17" x14ac:dyDescent="0.25">
      <c r="B57" s="296" t="s">
        <v>59</v>
      </c>
      <c r="C57" s="290">
        <v>183</v>
      </c>
      <c r="D57" s="290">
        <f>+'Apr - Jun 2024'!T17</f>
        <v>183</v>
      </c>
      <c r="E57" s="357">
        <f t="shared" si="9"/>
        <v>1</v>
      </c>
      <c r="F57" s="290">
        <f t="shared" si="10"/>
        <v>0</v>
      </c>
      <c r="N57" s="115"/>
      <c r="Q57" s="581"/>
    </row>
    <row r="58" spans="2:17" x14ac:dyDescent="0.25">
      <c r="B58" s="296" t="s">
        <v>282</v>
      </c>
      <c r="C58" s="290">
        <v>70</v>
      </c>
      <c r="D58" s="290">
        <v>67.41</v>
      </c>
      <c r="E58" s="357">
        <f>+D58/(C58+C59)</f>
        <v>0.26435294117647057</v>
      </c>
      <c r="F58" s="290">
        <f t="shared" si="10"/>
        <v>2.5900000000000034</v>
      </c>
      <c r="N58" s="115"/>
      <c r="Q58" s="581"/>
    </row>
    <row r="59" spans="2:17" x14ac:dyDescent="0.25">
      <c r="B59" s="296" t="s">
        <v>283</v>
      </c>
      <c r="C59" s="290">
        <v>185</v>
      </c>
      <c r="D59" s="290">
        <v>185.08</v>
      </c>
      <c r="E59" s="357">
        <f>+D59/(C59+C60)</f>
        <v>9.5648578811369511E-2</v>
      </c>
      <c r="F59" s="290">
        <f t="shared" si="10"/>
        <v>-8.0000000000012506E-2</v>
      </c>
      <c r="N59" s="115"/>
      <c r="Q59" s="581"/>
    </row>
    <row r="60" spans="2:17" x14ac:dyDescent="0.25">
      <c r="B60" s="293" t="s">
        <v>284</v>
      </c>
      <c r="C60" s="295">
        <f>SUM(C54:C59)</f>
        <v>1750</v>
      </c>
      <c r="D60" s="295">
        <f>SUM(D54:D59)</f>
        <v>1870.89</v>
      </c>
      <c r="E60" s="358">
        <f t="shared" si="9"/>
        <v>1.06908</v>
      </c>
      <c r="F60" s="295">
        <f>+C60-D60</f>
        <v>-120.8900000000001</v>
      </c>
      <c r="H60" s="271"/>
      <c r="N60" s="115"/>
      <c r="Q60" s="581"/>
    </row>
    <row r="61" spans="2:17" x14ac:dyDescent="0.25">
      <c r="C61" s="290"/>
      <c r="D61" s="290"/>
      <c r="F61" s="290"/>
      <c r="H61" s="271"/>
      <c r="N61" s="115"/>
      <c r="Q61" s="581"/>
    </row>
    <row r="62" spans="2:17" x14ac:dyDescent="0.25">
      <c r="B62" s="292" t="s">
        <v>285</v>
      </c>
      <c r="C62" s="290"/>
      <c r="D62" s="290"/>
      <c r="F62" s="290"/>
      <c r="N62" s="115"/>
      <c r="Q62" s="581"/>
    </row>
    <row r="63" spans="2:17" x14ac:dyDescent="0.25">
      <c r="B63" s="296" t="s">
        <v>286</v>
      </c>
      <c r="C63" s="290">
        <f>+'Budget Sheet'!I28</f>
        <v>298</v>
      </c>
      <c r="D63" s="290">
        <f>+'Jan - March 2025'!U32</f>
        <v>300</v>
      </c>
      <c r="E63" s="357">
        <f t="shared" ref="E63:E66" si="11">+D63/C63</f>
        <v>1.0067114093959733</v>
      </c>
      <c r="F63" s="290">
        <f t="shared" ref="F63:F65" si="12">+C63-D63</f>
        <v>-2</v>
      </c>
      <c r="N63" s="115"/>
      <c r="Q63" s="581"/>
    </row>
    <row r="64" spans="2:17" x14ac:dyDescent="0.25">
      <c r="B64" s="296" t="s">
        <v>327</v>
      </c>
      <c r="C64" s="290">
        <v>0</v>
      </c>
      <c r="D64" s="290">
        <v>0</v>
      </c>
      <c r="F64" s="290">
        <f t="shared" si="12"/>
        <v>0</v>
      </c>
      <c r="N64" s="115"/>
      <c r="Q64" s="581"/>
    </row>
    <row r="65" spans="2:17" x14ac:dyDescent="0.25">
      <c r="B65" s="296" t="s">
        <v>15</v>
      </c>
      <c r="C65" s="290">
        <v>0</v>
      </c>
      <c r="D65" s="290">
        <v>0</v>
      </c>
      <c r="F65" s="290">
        <f t="shared" si="12"/>
        <v>0</v>
      </c>
      <c r="N65" s="115"/>
    </row>
    <row r="66" spans="2:17" x14ac:dyDescent="0.25">
      <c r="B66" s="293" t="s">
        <v>287</v>
      </c>
      <c r="C66" s="295">
        <f>SUM(C63:C65)</f>
        <v>298</v>
      </c>
      <c r="D66" s="295">
        <f>SUM(D63:D65)</f>
        <v>300</v>
      </c>
      <c r="E66" s="358">
        <f t="shared" si="11"/>
        <v>1.0067114093959733</v>
      </c>
      <c r="F66" s="295">
        <f>+C66-D66</f>
        <v>-2</v>
      </c>
      <c r="H66" s="392"/>
      <c r="N66" s="115"/>
    </row>
    <row r="67" spans="2:17" x14ac:dyDescent="0.25">
      <c r="C67" s="290"/>
      <c r="D67" s="290"/>
      <c r="F67" s="290"/>
      <c r="N67" s="115"/>
    </row>
    <row r="68" spans="2:17" x14ac:dyDescent="0.25">
      <c r="B68" s="292" t="s">
        <v>288</v>
      </c>
      <c r="C68" s="290"/>
      <c r="D68" s="290"/>
      <c r="F68" s="290"/>
      <c r="N68" s="115"/>
      <c r="Q68" s="581"/>
    </row>
    <row r="69" spans="2:17" x14ac:dyDescent="0.25">
      <c r="B69" s="296" t="s">
        <v>289</v>
      </c>
      <c r="C69" s="290">
        <v>292</v>
      </c>
      <c r="D69" s="290">
        <f>+'Oct - Dec 2024'!V30</f>
        <v>420</v>
      </c>
      <c r="E69" s="357">
        <f t="shared" ref="E69:E75" si="13">+D69/C69</f>
        <v>1.4383561643835616</v>
      </c>
      <c r="F69" s="290">
        <f t="shared" ref="F69:F74" si="14">+C69-D69</f>
        <v>-128</v>
      </c>
      <c r="N69" s="115"/>
      <c r="Q69" s="581"/>
    </row>
    <row r="70" spans="2:17" x14ac:dyDescent="0.25">
      <c r="B70" s="296" t="s">
        <v>290</v>
      </c>
      <c r="C70" s="290">
        <v>60</v>
      </c>
      <c r="D70" s="290">
        <f>+'Oct - Dec 2024'!L12</f>
        <v>60</v>
      </c>
      <c r="E70" s="357">
        <f t="shared" si="13"/>
        <v>1</v>
      </c>
      <c r="F70" s="290">
        <f t="shared" si="14"/>
        <v>0</v>
      </c>
      <c r="N70" s="115"/>
      <c r="Q70" s="581"/>
    </row>
    <row r="71" spans="2:17" x14ac:dyDescent="0.25">
      <c r="B71" s="296" t="s">
        <v>291</v>
      </c>
      <c r="C71" s="290">
        <v>30</v>
      </c>
      <c r="D71" s="290">
        <f>+'Oct - Dec 2024'!L20</f>
        <v>35</v>
      </c>
      <c r="E71" s="357">
        <f t="shared" si="13"/>
        <v>1.1666666666666667</v>
      </c>
      <c r="F71" s="290">
        <f t="shared" si="14"/>
        <v>-5</v>
      </c>
      <c r="N71" s="115"/>
      <c r="Q71" s="581"/>
    </row>
    <row r="72" spans="2:17" x14ac:dyDescent="0.25">
      <c r="B72" s="296" t="s">
        <v>292</v>
      </c>
      <c r="C72" s="290">
        <v>97.5</v>
      </c>
      <c r="D72" s="290">
        <v>97.5</v>
      </c>
      <c r="E72" s="357">
        <f t="shared" si="13"/>
        <v>1</v>
      </c>
      <c r="F72" s="290">
        <f t="shared" si="14"/>
        <v>0</v>
      </c>
      <c r="N72" s="115"/>
    </row>
    <row r="73" spans="2:17" x14ac:dyDescent="0.25">
      <c r="B73" s="296" t="s">
        <v>293</v>
      </c>
      <c r="C73" s="290">
        <v>1207</v>
      </c>
      <c r="D73" s="290">
        <v>1207</v>
      </c>
      <c r="E73" s="357">
        <f t="shared" si="13"/>
        <v>1</v>
      </c>
      <c r="F73" s="290">
        <f t="shared" si="14"/>
        <v>0</v>
      </c>
      <c r="N73" s="115"/>
    </row>
    <row r="74" spans="2:17" x14ac:dyDescent="0.25">
      <c r="B74" s="296" t="s">
        <v>15</v>
      </c>
      <c r="C74" s="290">
        <v>600</v>
      </c>
      <c r="D74" s="290">
        <v>-42</v>
      </c>
      <c r="E74" s="357">
        <f t="shared" si="13"/>
        <v>-7.0000000000000007E-2</v>
      </c>
      <c r="F74" s="290">
        <f t="shared" si="14"/>
        <v>642</v>
      </c>
      <c r="N74" s="115"/>
    </row>
    <row r="75" spans="2:17" x14ac:dyDescent="0.25">
      <c r="B75" s="293" t="s">
        <v>294</v>
      </c>
      <c r="C75" s="295">
        <f>SUM(C69:C74)</f>
        <v>2286.5</v>
      </c>
      <c r="D75" s="295">
        <f>SUM(D69:D74)</f>
        <v>1777.5</v>
      </c>
      <c r="E75" s="358">
        <f t="shared" si="13"/>
        <v>0.7773890225235075</v>
      </c>
      <c r="F75" s="295">
        <f>+C75-D75</f>
        <v>509</v>
      </c>
      <c r="H75" s="392"/>
    </row>
    <row r="76" spans="2:17" x14ac:dyDescent="0.25">
      <c r="C76" s="290"/>
      <c r="D76" s="290">
        <f>+D75-SUM(D69:D74)</f>
        <v>0</v>
      </c>
      <c r="F76" s="290"/>
    </row>
    <row r="77" spans="2:17" x14ac:dyDescent="0.25">
      <c r="B77" s="292" t="s">
        <v>296</v>
      </c>
      <c r="C77" s="290"/>
      <c r="D77" s="290"/>
      <c r="F77" s="290"/>
    </row>
    <row r="78" spans="2:17" x14ac:dyDescent="0.25">
      <c r="B78" s="296" t="s">
        <v>297</v>
      </c>
      <c r="C78" s="290">
        <f>+'Budget Sheet'!I30</f>
        <v>3150</v>
      </c>
      <c r="D78" s="290">
        <f>+'Jan - March 2025'!W32</f>
        <v>3000</v>
      </c>
      <c r="E78" s="357">
        <f t="shared" ref="E78:E82" si="15">+D78/C78</f>
        <v>0.95238095238095233</v>
      </c>
      <c r="F78" s="290">
        <f t="shared" ref="F78:F81" si="16">+C78-D78</f>
        <v>150</v>
      </c>
    </row>
    <row r="79" spans="2:17" x14ac:dyDescent="0.25">
      <c r="B79" s="296" t="s">
        <v>299</v>
      </c>
      <c r="C79" s="290">
        <v>200</v>
      </c>
      <c r="D79" s="290">
        <v>0</v>
      </c>
      <c r="E79" s="357">
        <f t="shared" si="15"/>
        <v>0</v>
      </c>
      <c r="F79" s="290">
        <f t="shared" si="16"/>
        <v>200</v>
      </c>
    </row>
    <row r="80" spans="2:17" x14ac:dyDescent="0.25">
      <c r="B80" s="296" t="s">
        <v>300</v>
      </c>
      <c r="C80" s="290">
        <v>800</v>
      </c>
      <c r="D80" s="290">
        <v>33</v>
      </c>
      <c r="E80" s="357">
        <f t="shared" si="15"/>
        <v>4.1250000000000002E-2</v>
      </c>
      <c r="F80" s="290">
        <f t="shared" si="16"/>
        <v>767</v>
      </c>
    </row>
    <row r="81" spans="2:8" x14ac:dyDescent="0.25">
      <c r="B81" s="296" t="s">
        <v>301</v>
      </c>
      <c r="C81" s="290">
        <v>0</v>
      </c>
      <c r="D81" s="290">
        <v>0</v>
      </c>
      <c r="F81" s="290">
        <f t="shared" si="16"/>
        <v>0</v>
      </c>
    </row>
    <row r="82" spans="2:8" x14ac:dyDescent="0.25">
      <c r="B82" s="302" t="s">
        <v>296</v>
      </c>
      <c r="C82" s="295">
        <f>SUM(C78:C81)</f>
        <v>4150</v>
      </c>
      <c r="D82" s="295">
        <f>SUM(D78:D81)</f>
        <v>3033</v>
      </c>
      <c r="E82" s="358">
        <f t="shared" si="15"/>
        <v>0.73084337349397588</v>
      </c>
      <c r="F82" s="295">
        <f>+C82-D82</f>
        <v>1117</v>
      </c>
    </row>
    <row r="83" spans="2:8" x14ac:dyDescent="0.25">
      <c r="C83" s="290"/>
      <c r="D83" s="290"/>
      <c r="F83" s="290"/>
      <c r="H83" s="392"/>
    </row>
    <row r="84" spans="2:8" x14ac:dyDescent="0.25">
      <c r="B84" s="292" t="s">
        <v>302</v>
      </c>
      <c r="C84" s="290"/>
      <c r="D84" s="290"/>
      <c r="F84" s="290"/>
      <c r="H84" s="392"/>
    </row>
    <row r="85" spans="2:8" x14ac:dyDescent="0.25">
      <c r="B85" s="296" t="s">
        <v>303</v>
      </c>
      <c r="C85" s="290">
        <f>+'Budget Sheet'!I33</f>
        <v>1000</v>
      </c>
      <c r="D85" s="290">
        <v>666.76</v>
      </c>
      <c r="E85" s="357">
        <f>+D85/C85</f>
        <v>0.66676000000000002</v>
      </c>
      <c r="F85" s="290">
        <f t="shared" ref="F85:F86" si="17">+C85-D85</f>
        <v>333.24</v>
      </c>
      <c r="H85" s="392"/>
    </row>
    <row r="86" spans="2:8" x14ac:dyDescent="0.25">
      <c r="B86" s="296" t="s">
        <v>15</v>
      </c>
      <c r="C86" s="290">
        <v>0</v>
      </c>
      <c r="D86" s="290">
        <f>+'Apr - Jun 2024'!Z20</f>
        <v>900.45</v>
      </c>
      <c r="F86" s="290">
        <f t="shared" si="17"/>
        <v>-900.45</v>
      </c>
      <c r="H86" s="392"/>
    </row>
    <row r="87" spans="2:8" x14ac:dyDescent="0.25">
      <c r="B87" s="293" t="s">
        <v>302</v>
      </c>
      <c r="C87" s="295">
        <f>SUM(C85)</f>
        <v>1000</v>
      </c>
      <c r="D87" s="295">
        <f>SUM(D85:D86)</f>
        <v>1567.21</v>
      </c>
      <c r="E87" s="358">
        <f>+D87/C87</f>
        <v>1.56721</v>
      </c>
      <c r="F87" s="295">
        <f>+C87-D87</f>
        <v>-567.21</v>
      </c>
    </row>
    <row r="88" spans="2:8" x14ac:dyDescent="0.25">
      <c r="B88" s="292"/>
      <c r="C88" s="290"/>
      <c r="D88" s="290"/>
      <c r="F88" s="290"/>
    </row>
    <row r="89" spans="2:8" x14ac:dyDescent="0.25">
      <c r="B89" s="292" t="s">
        <v>305</v>
      </c>
      <c r="C89" s="290"/>
      <c r="D89" s="290"/>
      <c r="F89" s="290"/>
    </row>
    <row r="90" spans="2:8" x14ac:dyDescent="0.25">
      <c r="B90" s="296" t="s">
        <v>306</v>
      </c>
      <c r="C90" s="290">
        <f>+'Budget Sheet'!I34</f>
        <v>386.40000000000003</v>
      </c>
      <c r="D90" s="290">
        <v>220</v>
      </c>
      <c r="E90" s="357">
        <f>+D90/C90</f>
        <v>0.56935817805383016</v>
      </c>
      <c r="F90" s="290">
        <f t="shared" ref="F90:F91" si="18">+C90-D90</f>
        <v>166.40000000000003</v>
      </c>
    </row>
    <row r="91" spans="2:8" x14ac:dyDescent="0.25">
      <c r="B91" s="296" t="s">
        <v>328</v>
      </c>
      <c r="C91" s="290">
        <v>0</v>
      </c>
      <c r="D91" s="290">
        <v>2000</v>
      </c>
      <c r="F91" s="290">
        <f t="shared" si="18"/>
        <v>-2000</v>
      </c>
    </row>
    <row r="92" spans="2:8" x14ac:dyDescent="0.25">
      <c r="B92" s="293" t="s">
        <v>305</v>
      </c>
      <c r="C92" s="295">
        <f>SUM(C90)</f>
        <v>386.40000000000003</v>
      </c>
      <c r="D92" s="295">
        <f>SUM(D90:D91)</f>
        <v>2220</v>
      </c>
      <c r="E92" s="358">
        <f>+D92/C92</f>
        <v>5.7453416149068319</v>
      </c>
      <c r="F92" s="295">
        <f>+C92-D92</f>
        <v>-1833.6</v>
      </c>
      <c r="H92" s="586"/>
    </row>
    <row r="93" spans="2:8" x14ac:dyDescent="0.25">
      <c r="B93" s="292"/>
      <c r="C93" s="290"/>
      <c r="D93" s="290"/>
      <c r="F93" s="290"/>
      <c r="H93" s="586"/>
    </row>
    <row r="94" spans="2:8" x14ac:dyDescent="0.25">
      <c r="B94" s="293" t="s">
        <v>307</v>
      </c>
      <c r="C94" s="295">
        <v>0</v>
      </c>
      <c r="D94" s="295">
        <f>+'Jan - March 2025'!AD32</f>
        <v>4264.1000000000004</v>
      </c>
      <c r="E94" s="358">
        <v>0</v>
      </c>
      <c r="F94" s="295">
        <f>+C94-D94</f>
        <v>-4264.1000000000004</v>
      </c>
      <c r="H94" s="586"/>
    </row>
    <row r="95" spans="2:8" x14ac:dyDescent="0.25">
      <c r="B95" s="292"/>
      <c r="C95" s="290"/>
      <c r="D95" s="290"/>
      <c r="F95" s="290"/>
    </row>
    <row r="96" spans="2:8" x14ac:dyDescent="0.25">
      <c r="B96" s="293" t="s">
        <v>308</v>
      </c>
      <c r="C96" s="295">
        <f>SUM(C92,C87,C82,C75,C66,C60,C51,C50,C48,C40,C30,C18)</f>
        <v>51953.9</v>
      </c>
      <c r="D96" s="295">
        <f>SUM(D92,D87,D82,D75,D66,D60,D51,D50,D48,D40,D30,D18,D94)</f>
        <v>57542.689999999995</v>
      </c>
      <c r="E96" s="358">
        <f>+D96/C96</f>
        <v>1.1075720975711159</v>
      </c>
      <c r="F96" s="295">
        <f>+C96-D96</f>
        <v>-5588.7899999999936</v>
      </c>
      <c r="G96" s="385"/>
    </row>
    <row r="97" spans="2:14" x14ac:dyDescent="0.25">
      <c r="C97" s="301"/>
      <c r="D97" s="301"/>
      <c r="F97" s="301"/>
      <c r="G97" s="385"/>
    </row>
    <row r="98" spans="2:14" x14ac:dyDescent="0.25">
      <c r="B98" s="296" t="s">
        <v>309</v>
      </c>
      <c r="C98" s="301">
        <f>+C10-C96</f>
        <v>-2435.9000000000015</v>
      </c>
      <c r="D98" s="301">
        <f>+D10-D96</f>
        <v>-4124.489999999998</v>
      </c>
      <c r="F98" s="301">
        <f>+C98-D98</f>
        <v>1688.5899999999965</v>
      </c>
      <c r="G98" s="385"/>
      <c r="H98" s="290"/>
    </row>
    <row r="99" spans="2:14" x14ac:dyDescent="0.25">
      <c r="B99" s="296"/>
      <c r="C99" s="301"/>
      <c r="D99" s="301"/>
      <c r="F99" s="301"/>
      <c r="H99" s="290"/>
    </row>
    <row r="100" spans="2:14" x14ac:dyDescent="0.25">
      <c r="B100" s="293" t="s">
        <v>310</v>
      </c>
      <c r="C100" s="295">
        <v>0</v>
      </c>
      <c r="D100" s="295">
        <f>+'Jan - March 2025'!AB32</f>
        <v>2000</v>
      </c>
      <c r="E100" s="358"/>
      <c r="F100" s="295">
        <f>+C100-D100</f>
        <v>-2000</v>
      </c>
      <c r="H100" s="290"/>
    </row>
    <row r="101" spans="2:14" x14ac:dyDescent="0.25">
      <c r="B101" s="292"/>
      <c r="C101" s="290"/>
      <c r="D101" s="290"/>
      <c r="F101" s="290"/>
      <c r="H101" s="381"/>
      <c r="I101" s="381"/>
    </row>
    <row r="102" spans="2:14" x14ac:dyDescent="0.25">
      <c r="B102" s="293" t="s">
        <v>311</v>
      </c>
      <c r="C102" s="295">
        <f>SUM(C78,C75,C38,C28)</f>
        <v>7030.5</v>
      </c>
      <c r="D102" s="295">
        <v>6360</v>
      </c>
      <c r="E102" s="358"/>
      <c r="F102" s="295">
        <f>+C102-D102</f>
        <v>670.5</v>
      </c>
      <c r="H102" s="381"/>
      <c r="I102" s="381"/>
    </row>
    <row r="103" spans="2:14" x14ac:dyDescent="0.25">
      <c r="C103" s="290"/>
      <c r="D103" s="290"/>
      <c r="F103" s="290"/>
      <c r="H103" s="381"/>
    </row>
    <row r="104" spans="2:14" s="268" customFormat="1" x14ac:dyDescent="0.25">
      <c r="B104" s="292" t="s">
        <v>312</v>
      </c>
      <c r="C104" s="301" t="s">
        <v>313</v>
      </c>
      <c r="D104" s="301"/>
      <c r="E104" s="357"/>
      <c r="F104" s="301"/>
      <c r="H104"/>
      <c r="I104"/>
      <c r="J104"/>
      <c r="K104"/>
      <c r="L104"/>
      <c r="M104"/>
      <c r="N104"/>
    </row>
    <row r="105" spans="2:14" s="268" customFormat="1" x14ac:dyDescent="0.25">
      <c r="B105" s="345" t="s">
        <v>241</v>
      </c>
      <c r="C105" s="346">
        <v>17335.2</v>
      </c>
      <c r="D105" s="521">
        <f>+D18</f>
        <v>19982.509999999998</v>
      </c>
      <c r="E105" s="357">
        <f>+D105/C105</f>
        <v>1.1527129770640083</v>
      </c>
      <c r="F105" s="346">
        <f>+C105-D105</f>
        <v>-2647.3099999999977</v>
      </c>
      <c r="H105"/>
      <c r="I105"/>
      <c r="J105"/>
      <c r="K105"/>
      <c r="L105"/>
      <c r="M105"/>
      <c r="N105"/>
    </row>
    <row r="106" spans="2:14" s="268" customFormat="1" x14ac:dyDescent="0.25">
      <c r="B106" s="345" t="s">
        <v>255</v>
      </c>
      <c r="C106" s="346">
        <v>7550</v>
      </c>
      <c r="D106" s="521">
        <f>+D30</f>
        <v>4875.05</v>
      </c>
      <c r="E106" s="357">
        <f t="shared" ref="E106:E109" si="19">+D106/C106</f>
        <v>0.64570198675496693</v>
      </c>
      <c r="F106" s="346">
        <f t="shared" ref="F106:F109" si="20">+C106-D106</f>
        <v>2674.95</v>
      </c>
      <c r="H106"/>
      <c r="I106"/>
      <c r="J106"/>
      <c r="K106"/>
      <c r="L106"/>
      <c r="M106"/>
      <c r="N106"/>
    </row>
    <row r="107" spans="2:14" s="268" customFormat="1" x14ac:dyDescent="0.25">
      <c r="B107" s="345" t="s">
        <v>265</v>
      </c>
      <c r="C107" s="346">
        <v>14775.25</v>
      </c>
      <c r="D107" s="521">
        <f>+D40</f>
        <v>13846.43</v>
      </c>
      <c r="E107" s="357">
        <f t="shared" si="19"/>
        <v>0.93713676587536587</v>
      </c>
      <c r="F107" s="346">
        <f t="shared" si="20"/>
        <v>928.81999999999971</v>
      </c>
      <c r="H107"/>
      <c r="I107"/>
      <c r="J107"/>
      <c r="K107"/>
      <c r="L107"/>
      <c r="M107"/>
      <c r="N107"/>
    </row>
    <row r="108" spans="2:14" s="268" customFormat="1" x14ac:dyDescent="0.25">
      <c r="B108" s="363" t="s">
        <v>284</v>
      </c>
      <c r="C108" s="346">
        <v>2645</v>
      </c>
      <c r="D108" s="521">
        <f>+D60</f>
        <v>1870.89</v>
      </c>
      <c r="E108" s="357">
        <f t="shared" si="19"/>
        <v>0.70733081285444244</v>
      </c>
      <c r="F108" s="346">
        <f t="shared" si="20"/>
        <v>774.1099999999999</v>
      </c>
      <c r="H108"/>
      <c r="I108"/>
      <c r="J108"/>
      <c r="K108"/>
      <c r="L108"/>
      <c r="M108"/>
      <c r="N108"/>
    </row>
    <row r="109" spans="2:14" s="268" customFormat="1" x14ac:dyDescent="0.25">
      <c r="B109" s="345" t="s">
        <v>314</v>
      </c>
      <c r="C109" s="346">
        <v>8805</v>
      </c>
      <c r="D109" s="521">
        <f>+D92+D87+D82+D75+D66+D51+D50+D48+D94</f>
        <v>16967.809999999998</v>
      </c>
      <c r="E109" s="357">
        <f t="shared" si="19"/>
        <v>1.9270653038046561</v>
      </c>
      <c r="F109" s="346">
        <f t="shared" si="20"/>
        <v>-8162.8099999999977</v>
      </c>
      <c r="H109"/>
      <c r="I109"/>
      <c r="J109"/>
      <c r="K109"/>
      <c r="L109" s="579"/>
      <c r="M109"/>
      <c r="N109"/>
    </row>
    <row r="110" spans="2:14" s="268" customFormat="1" x14ac:dyDescent="0.25">
      <c r="B110" s="347" t="s">
        <v>308</v>
      </c>
      <c r="C110" s="348">
        <f>SUM(C105:C109)</f>
        <v>51110.45</v>
      </c>
      <c r="D110" s="522">
        <f>SUM(D105:D109)</f>
        <v>57542.689999999995</v>
      </c>
      <c r="E110" s="359">
        <f>+D110/C110</f>
        <v>1.1258498017528704</v>
      </c>
      <c r="F110" s="348">
        <f>+C110-D110</f>
        <v>-6432.239999999998</v>
      </c>
      <c r="H110"/>
      <c r="I110"/>
      <c r="J110"/>
      <c r="K110"/>
      <c r="L110" s="587"/>
      <c r="M110"/>
      <c r="N110"/>
    </row>
    <row r="111" spans="2:14" s="268" customFormat="1" x14ac:dyDescent="0.25">
      <c r="B111"/>
      <c r="C111" s="301"/>
      <c r="D111" s="301"/>
      <c r="E111" s="357"/>
      <c r="F111" s="301"/>
      <c r="H111"/>
      <c r="I111"/>
      <c r="J111"/>
      <c r="K111"/>
      <c r="L111"/>
      <c r="M111"/>
      <c r="N111"/>
    </row>
    <row r="112" spans="2:14" s="268" customFormat="1" x14ac:dyDescent="0.25">
      <c r="B112" s="292" t="s">
        <v>315</v>
      </c>
      <c r="C112"/>
      <c r="D112" s="301"/>
      <c r="E112" s="357"/>
      <c r="F112" s="301"/>
      <c r="H112"/>
      <c r="I112"/>
      <c r="J112"/>
      <c r="K112"/>
      <c r="L112" s="579"/>
      <c r="M112"/>
      <c r="N112"/>
    </row>
    <row r="113" spans="2:14" s="268" customFormat="1" x14ac:dyDescent="0.25">
      <c r="B113"/>
      <c r="C113" s="301"/>
      <c r="D113" s="301"/>
      <c r="E113" s="357"/>
      <c r="F113" s="301"/>
      <c r="H113"/>
      <c r="I113"/>
      <c r="J113"/>
      <c r="K113"/>
      <c r="L113"/>
      <c r="M113"/>
      <c r="N113"/>
    </row>
    <row r="114" spans="2:14" s="268" customFormat="1" x14ac:dyDescent="0.25">
      <c r="B114" s="296" t="s">
        <v>316</v>
      </c>
      <c r="C114" s="301"/>
      <c r="D114" s="301"/>
      <c r="E114" s="357"/>
      <c r="F114" s="301"/>
      <c r="H114"/>
      <c r="I114" s="383"/>
      <c r="J114"/>
      <c r="K114"/>
      <c r="L114"/>
      <c r="M114"/>
      <c r="N114"/>
    </row>
    <row r="115" spans="2:14" s="268" customFormat="1" x14ac:dyDescent="0.25">
      <c r="B115"/>
      <c r="C115" s="301"/>
      <c r="D115" s="301"/>
      <c r="E115" s="357"/>
      <c r="F115" s="301"/>
      <c r="H115"/>
      <c r="I115" s="381"/>
      <c r="J115"/>
      <c r="K115"/>
      <c r="L115"/>
      <c r="M115"/>
      <c r="N115"/>
    </row>
    <row r="116" spans="2:14" s="268" customFormat="1" x14ac:dyDescent="0.25">
      <c r="B116" s="296" t="s">
        <v>317</v>
      </c>
      <c r="C116" s="301"/>
      <c r="D116" s="301"/>
      <c r="E116" s="357"/>
      <c r="F116" s="301"/>
      <c r="H116"/>
      <c r="I116"/>
      <c r="J116"/>
      <c r="K116"/>
      <c r="L116"/>
      <c r="M116"/>
      <c r="N116"/>
    </row>
    <row r="117" spans="2:14" s="268" customFormat="1" x14ac:dyDescent="0.25">
      <c r="B117"/>
      <c r="C117" s="301"/>
      <c r="D117" s="301"/>
      <c r="E117" s="357"/>
      <c r="F117" s="301"/>
      <c r="H117"/>
      <c r="I117"/>
      <c r="J117"/>
      <c r="K117"/>
      <c r="L117"/>
      <c r="M117"/>
      <c r="N117"/>
    </row>
    <row r="118" spans="2:14" s="268" customFormat="1" x14ac:dyDescent="0.25">
      <c r="B118" s="296" t="s">
        <v>318</v>
      </c>
      <c r="C118" s="301"/>
      <c r="D118" s="301"/>
      <c r="E118" s="357"/>
      <c r="F118" s="301"/>
      <c r="H118"/>
      <c r="I118"/>
      <c r="J118"/>
      <c r="K118"/>
      <c r="L118"/>
      <c r="M118"/>
      <c r="N118"/>
    </row>
    <row r="119" spans="2:14" s="268" customFormat="1" x14ac:dyDescent="0.25">
      <c r="B119"/>
      <c r="C119" s="301"/>
      <c r="D119" s="301"/>
      <c r="E119" s="357"/>
      <c r="F119" s="301"/>
      <c r="H119"/>
      <c r="I119"/>
      <c r="J119"/>
      <c r="K119"/>
      <c r="L119"/>
      <c r="M119"/>
      <c r="N119"/>
    </row>
    <row r="120" spans="2:14" s="268" customFormat="1" x14ac:dyDescent="0.25">
      <c r="B120"/>
      <c r="C120" s="301"/>
      <c r="D120" s="301"/>
      <c r="E120" s="357"/>
      <c r="F120" s="301"/>
      <c r="H120"/>
      <c r="I120"/>
      <c r="J120"/>
      <c r="K120"/>
      <c r="L120"/>
      <c r="M120"/>
      <c r="N120"/>
    </row>
    <row r="121" spans="2:14" s="268" customFormat="1" x14ac:dyDescent="0.25">
      <c r="B121"/>
      <c r="C121" s="301"/>
      <c r="D121" s="301"/>
      <c r="E121" s="357"/>
      <c r="F121" s="301"/>
      <c r="H121"/>
      <c r="I121"/>
      <c r="J121"/>
      <c r="K121"/>
      <c r="L121"/>
      <c r="M121"/>
      <c r="N121"/>
    </row>
    <row r="122" spans="2:14" s="268" customFormat="1" x14ac:dyDescent="0.25">
      <c r="B122"/>
      <c r="C122" s="301"/>
      <c r="D122" s="301"/>
      <c r="E122" s="357"/>
      <c r="F122" s="301"/>
      <c r="H122"/>
      <c r="I122"/>
      <c r="J122"/>
      <c r="K122"/>
      <c r="L122"/>
      <c r="M122"/>
      <c r="N122"/>
    </row>
    <row r="123" spans="2:14" s="268" customFormat="1" x14ac:dyDescent="0.25">
      <c r="B123"/>
      <c r="C123" s="301"/>
      <c r="D123" s="301"/>
      <c r="E123" s="357"/>
      <c r="F123" s="301"/>
      <c r="H123"/>
      <c r="I123"/>
      <c r="J123"/>
      <c r="K123"/>
      <c r="L123"/>
      <c r="M123"/>
      <c r="N123"/>
    </row>
    <row r="124" spans="2:14" s="268" customFormat="1" x14ac:dyDescent="0.25">
      <c r="B124"/>
      <c r="C124" s="301"/>
      <c r="D124" s="301"/>
      <c r="E124" s="357"/>
      <c r="F124" s="301"/>
      <c r="G124" s="391"/>
      <c r="H124"/>
      <c r="I124"/>
      <c r="J124"/>
      <c r="K124"/>
      <c r="L124"/>
      <c r="M124"/>
      <c r="N124"/>
    </row>
    <row r="125" spans="2:14" s="268" customFormat="1" x14ac:dyDescent="0.25">
      <c r="B125"/>
      <c r="C125" s="301"/>
      <c r="D125" s="301"/>
      <c r="E125" s="357"/>
      <c r="F125" s="301"/>
      <c r="H125"/>
      <c r="I125"/>
      <c r="J125"/>
      <c r="K125"/>
      <c r="L125"/>
      <c r="M125"/>
      <c r="N125"/>
    </row>
    <row r="126" spans="2:14" s="268" customFormat="1" x14ac:dyDescent="0.25">
      <c r="B126"/>
      <c r="C126" s="301"/>
      <c r="D126" s="301"/>
      <c r="E126" s="357"/>
      <c r="F126" s="301"/>
      <c r="H126"/>
      <c r="I126"/>
      <c r="J126"/>
      <c r="K126"/>
      <c r="L126"/>
      <c r="M126"/>
      <c r="N126"/>
    </row>
    <row r="127" spans="2:14" s="268" customFormat="1" x14ac:dyDescent="0.25">
      <c r="B127"/>
      <c r="C127" s="301"/>
      <c r="D127" s="301"/>
      <c r="E127" s="357"/>
      <c r="F127" s="301"/>
      <c r="H127"/>
      <c r="I127"/>
      <c r="J127"/>
      <c r="K127"/>
      <c r="L127"/>
      <c r="M127"/>
      <c r="N127"/>
    </row>
  </sheetData>
  <pageMargins left="0.70866141732283472" right="0.70866141732283472" top="0.74803149606299213" bottom="0.74803149606299213" header="0.31496062992125984" footer="0.31496062992125984"/>
  <pageSetup paperSize="9" scale="42" orientation="portrait" horizontalDpi="300" verticalDpi="300"/>
  <rowBreaks count="3" manualBreakCount="3">
    <brk id="31" min="1" max="7" man="1"/>
    <brk id="52" min="1" max="7" man="1"/>
    <brk id="6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Apr - Jun 2024</vt:lpstr>
      <vt:lpstr>July - Sept 2024</vt:lpstr>
      <vt:lpstr>Oct - Dec 2024</vt:lpstr>
      <vt:lpstr>Jan - March 2025</vt:lpstr>
      <vt:lpstr>Year end bank rec</vt:lpstr>
      <vt:lpstr>Q1 YTD Budget Report </vt:lpstr>
      <vt:lpstr>Q2 YTD Budget Report</vt:lpstr>
      <vt:lpstr>Q3 Budget Report</vt:lpstr>
      <vt:lpstr>YTD Budget Report</vt:lpstr>
      <vt:lpstr>Budget Sheet</vt:lpstr>
      <vt:lpstr>Forecast Year End Report</vt:lpstr>
      <vt:lpstr>'Apr - Jun 2024'!Print_Area</vt:lpstr>
      <vt:lpstr>'Forecast Year End Report'!Print_Area</vt:lpstr>
      <vt:lpstr>'Jan - March 2025'!Print_Area</vt:lpstr>
      <vt:lpstr>'July - Sept 2024'!Print_Area</vt:lpstr>
      <vt:lpstr>'Oct - Dec 2024'!Print_Area</vt:lpstr>
      <vt:lpstr>'Q1 YTD Budget Report '!Print_Area</vt:lpstr>
      <vt:lpstr>'Q2 YTD Budget Report'!Print_Area</vt:lpstr>
      <vt:lpstr>'Q3 Budget Report'!Print_Area</vt:lpstr>
      <vt:lpstr>'YTD Budget Report'!Print_Area</vt:lpstr>
      <vt:lpstr>'Forecast Year End Report'!Print_Titles</vt:lpstr>
      <vt:lpstr>'Q1 YTD Budget Report '!Print_Titles</vt:lpstr>
      <vt:lpstr>'Q2 YTD Budget Report'!Print_Titles</vt:lpstr>
      <vt:lpstr>'Q3 Budget Report'!Print_Titles</vt:lpstr>
      <vt:lpstr>'YTD Budget Report'!Print_Titles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Win7_pro</dc:creator>
  <cp:keywords/>
  <dc:description/>
  <cp:lastModifiedBy>Jayne Kennedy</cp:lastModifiedBy>
  <cp:revision>2</cp:revision>
  <dcterms:created xsi:type="dcterms:W3CDTF">2017-04-11T17:52:28Z</dcterms:created>
  <dcterms:modified xsi:type="dcterms:W3CDTF">2025-06-18T12:55:33Z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